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codeName="ThisWorkbook" defaultThemeVersion="124226"/>
  <mc:AlternateContent xmlns:mc="http://schemas.openxmlformats.org/markup-compatibility/2006">
    <mc:Choice Requires="x15">
      <x15ac:absPath xmlns:x15ac="http://schemas.microsoft.com/office/spreadsheetml/2010/11/ac" url="W:\"/>
    </mc:Choice>
  </mc:AlternateContent>
  <xr:revisionPtr revIDLastSave="0" documentId="13_ncr:1_{622B4EE1-9EF5-41B1-9A42-30EA7E06F2F1}" xr6:coauthVersionLast="36" xr6:coauthVersionMax="36" xr10:uidLastSave="{00000000-0000-0000-0000-000000000000}"/>
  <workbookProtection workbookAlgorithmName="SHA-512" workbookHashValue="OXdG05c48psg8huqb2Vcz+APo/r6ZfRt3hLV9tWYGi+Tko/fw/Hxd2t5VhkEz5Dj5dHKHJa/G18wAciUAHivPA==" workbookSaltValue="W9vExrxhtlQE8fl5QEY8Bg==" workbookSpinCount="100000" lockStructure="1"/>
  <bookViews>
    <workbookView xWindow="0" yWindow="0" windowWidth="20400" windowHeight="6852" tabRatio="808" firstSheet="8" activeTab="9" xr2:uid="{00000000-000D-0000-FFFF-FFFF00000000}"/>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state="hidden"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r:id="rId111"/>
    <sheet name="17a.2-Budget Revenues" sheetId="201" r:id="rId112"/>
    <sheet name="17a.3-Budget Revenues" sheetId="202" r:id="rId113"/>
    <sheet name="17a Totals-Budget Revenues" sheetId="203" r:id="rId114"/>
    <sheet name="18-Budget Appropriations" sheetId="27" r:id="rId115"/>
    <sheet name="19-Results of Op-Cur Fnd" sheetId="31" r:id="rId116"/>
    <sheet name="20-Misc Rev Not Ant" sheetId="32" r:id="rId117"/>
    <sheet name="20.1-Misc Rev Not Ant" sheetId="204" r:id="rId118"/>
    <sheet name="20 Total-Misc Rev Not Ant" sheetId="205" r:id="rId119"/>
    <sheet name="21-Current Fund Surplus" sheetId="26" r:id="rId120"/>
    <sheet name="22-2019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state="hidden"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8- Capital Surplus" sheetId="58" r:id="rId153"/>
    <sheet name="39- Req. Information" sheetId="48" r:id="rId154"/>
    <sheet name="40" sheetId="47" r:id="rId155"/>
    <sheet name="41-Utility1 " sheetId="103" r:id="rId156"/>
    <sheet name="41a-Utility1" sheetId="104" r:id="rId157"/>
    <sheet name="41a.1-Utility1" sheetId="344" r:id="rId158"/>
    <sheet name="42-Utility1" sheetId="105" r:id="rId159"/>
    <sheet name="43-Utility1" sheetId="106" r:id="rId160"/>
    <sheet name="44-Utility1" sheetId="107" r:id="rId161"/>
    <sheet name="45-Utility1" sheetId="108" r:id="rId162"/>
    <sheet name="46-Utility1" sheetId="109" r:id="rId163"/>
    <sheet name="47-Utility1" sheetId="110" r:id="rId164"/>
    <sheet name="48-Utility1" sheetId="111" r:id="rId165"/>
    <sheet name="49-Utility1" sheetId="112" r:id="rId166"/>
    <sheet name="49a-Utility1" sheetId="113" r:id="rId167"/>
    <sheet name="49a.1-Utility1" sheetId="306" r:id="rId168"/>
    <sheet name="50-Utility1" sheetId="114" r:id="rId169"/>
    <sheet name="51-Utility1" sheetId="115" r:id="rId170"/>
    <sheet name="51a-Utility1" sheetId="116" r:id="rId171"/>
    <sheet name="52-Utility1" sheetId="117" r:id="rId172"/>
    <sheet name="52.1-Utility1" sheetId="319" state="hidden" r:id="rId173"/>
    <sheet name="52.2-Utility1" sheetId="320" state="hidden" r:id="rId174"/>
    <sheet name="52.3-Utility1" sheetId="321" state="hidden" r:id="rId175"/>
    <sheet name="52-Totals-Utility 1" sheetId="322" r:id="rId176"/>
    <sheet name="53-Utility1" sheetId="118" r:id="rId177"/>
    <sheet name="54-Utility1" sheetId="119" r:id="rId178"/>
    <sheet name="41-Utility2" sheetId="220" r:id="rId179"/>
    <sheet name="41a-Utility2" sheetId="355" r:id="rId180"/>
    <sheet name="41a.1-Utility2" sheetId="356" r:id="rId181"/>
    <sheet name="42-Utility2" sheetId="222" r:id="rId182"/>
    <sheet name="43-Utility2" sheetId="223" r:id="rId183"/>
    <sheet name="44-Utility2" sheetId="224" r:id="rId184"/>
    <sheet name="45-Utility2" sheetId="225" r:id="rId185"/>
    <sheet name="46-Utility2 " sheetId="226" r:id="rId186"/>
    <sheet name="47-Utility2" sheetId="227" r:id="rId187"/>
    <sheet name="48-Utility2" sheetId="228" r:id="rId188"/>
    <sheet name="49-Utility2" sheetId="229" r:id="rId189"/>
    <sheet name="49a-Utility2" sheetId="230" r:id="rId190"/>
    <sheet name="49a.1-Utility2 " sheetId="307" r:id="rId191"/>
    <sheet name="50-Utility2" sheetId="231" r:id="rId192"/>
    <sheet name="51-Utility2" sheetId="287" r:id="rId193"/>
    <sheet name="51a-Utility2" sheetId="292" r:id="rId194"/>
    <sheet name="52-Utility2" sheetId="293" r:id="rId195"/>
    <sheet name="52.1-Utility2" sheetId="323" state="hidden" r:id="rId196"/>
    <sheet name="52.2-Utility2" sheetId="324" state="hidden" r:id="rId197"/>
    <sheet name="52.3-Utility2" sheetId="325" state="hidden" r:id="rId198"/>
    <sheet name="52-Totals-Utility2" sheetId="326" r:id="rId199"/>
    <sheet name="53-Utility2" sheetId="300" r:id="rId200"/>
    <sheet name="54-Utility2" sheetId="301" r:id="rId201"/>
    <sheet name="41-Utility3" sheetId="232" r:id="rId202"/>
    <sheet name="41a-Utility3" sheetId="357" r:id="rId203"/>
    <sheet name="41a.1-Utility3" sheetId="358" r:id="rId204"/>
    <sheet name="42-Utility3" sheetId="234" r:id="rId205"/>
    <sheet name="43-Utility3" sheetId="235" r:id="rId206"/>
    <sheet name="44-Utility3" sheetId="236" r:id="rId207"/>
    <sheet name="45-Utility3" sheetId="237" r:id="rId208"/>
    <sheet name="46-Utility3" sheetId="238" r:id="rId209"/>
    <sheet name="47-Utility3" sheetId="239" r:id="rId210"/>
    <sheet name="48-Utility3" sheetId="240" r:id="rId211"/>
    <sheet name="49-Utility3" sheetId="241" r:id="rId212"/>
    <sheet name="49a-Utility3" sheetId="242" r:id="rId213"/>
    <sheet name="49a.1-Utility3" sheetId="311" r:id="rId214"/>
    <sheet name="50-Utility3" sheetId="243" r:id="rId215"/>
    <sheet name="51-Utility3" sheetId="286" r:id="rId216"/>
    <sheet name="51a-Utility3" sheetId="291" r:id="rId217"/>
    <sheet name="52-Utility3" sheetId="294" r:id="rId218"/>
    <sheet name="52.1-Utility3" sheetId="327" state="hidden" r:id="rId219"/>
    <sheet name="52.2-Utility3" sheetId="328" state="hidden" r:id="rId220"/>
    <sheet name="52.3-Utility3" sheetId="329" state="hidden" r:id="rId221"/>
    <sheet name="52-Totals-Utility3" sheetId="330" r:id="rId222"/>
    <sheet name="53-Utility3" sheetId="299" r:id="rId223"/>
    <sheet name="54-Utility3" sheetId="302" r:id="rId224"/>
    <sheet name="41-Utility4" sheetId="244" r:id="rId225"/>
    <sheet name="41a-Utility4" sheetId="359" r:id="rId226"/>
    <sheet name="41a.1-Utility4" sheetId="360" r:id="rId227"/>
    <sheet name="42-Utility4" sheetId="246" r:id="rId228"/>
    <sheet name="43-Utility4" sheetId="247" r:id="rId229"/>
    <sheet name="44-Utility4" sheetId="248" r:id="rId230"/>
    <sheet name="45-Utility4" sheetId="249" r:id="rId231"/>
    <sheet name="46-Utility4" sheetId="250" r:id="rId232"/>
    <sheet name="47-Utility4" sheetId="251" r:id="rId233"/>
    <sheet name="48-Utility4" sheetId="252" r:id="rId234"/>
    <sheet name="49-Utility4" sheetId="253" r:id="rId235"/>
    <sheet name="49a-Utility4" sheetId="254" r:id="rId236"/>
    <sheet name="49a.1-Utility4" sheetId="313" r:id="rId237"/>
    <sheet name="50-Utility4" sheetId="255" r:id="rId238"/>
    <sheet name="51-Utility4" sheetId="285" r:id="rId239"/>
    <sheet name="51a-Utility4" sheetId="290" r:id="rId240"/>
    <sheet name="52-Utility4" sheetId="295" r:id="rId241"/>
    <sheet name="52.1-Utility4" sheetId="331" state="hidden" r:id="rId242"/>
    <sheet name="52.2-Utility4" sheetId="332" state="hidden" r:id="rId243"/>
    <sheet name="52.3-Utility4" sheetId="333" state="hidden" r:id="rId244"/>
    <sheet name="52-Totals-Utility4" sheetId="335" r:id="rId245"/>
    <sheet name="53-Utility4" sheetId="298" r:id="rId246"/>
    <sheet name="54-Utility4" sheetId="303" r:id="rId247"/>
    <sheet name="41-Utility5" sheetId="256" r:id="rId248"/>
    <sheet name="41a-Utility5" sheetId="361" r:id="rId249"/>
    <sheet name="41a.1-Utility5" sheetId="362" r:id="rId250"/>
    <sheet name="42-Utility5" sheetId="258" r:id="rId251"/>
    <sheet name="43-Utility5" sheetId="259" r:id="rId252"/>
    <sheet name="44-Utility5" sheetId="260" r:id="rId253"/>
    <sheet name="45-Utility5" sheetId="261" r:id="rId254"/>
    <sheet name="46-Utility5" sheetId="262" r:id="rId255"/>
    <sheet name="47-Utility5" sheetId="263" r:id="rId256"/>
    <sheet name="48-Utility5" sheetId="264" r:id="rId257"/>
    <sheet name="49-Utility5" sheetId="265" r:id="rId258"/>
    <sheet name="49a-Utility5" sheetId="266" r:id="rId259"/>
    <sheet name="49a.1-Utility5" sheetId="315" r:id="rId260"/>
    <sheet name="50-Utility5" sheetId="267" r:id="rId261"/>
    <sheet name="51-Utility5" sheetId="284" r:id="rId262"/>
    <sheet name="51a-Utility5" sheetId="289" r:id="rId263"/>
    <sheet name="52-Utility5" sheetId="296" r:id="rId264"/>
    <sheet name="52.1-Utility5" sheetId="336" state="hidden" r:id="rId265"/>
    <sheet name="52.2-Utility5" sheetId="337" state="hidden" r:id="rId266"/>
    <sheet name="52.3-Utility5" sheetId="338" state="hidden" r:id="rId267"/>
    <sheet name="52-Totals-Utility5" sheetId="339" r:id="rId268"/>
    <sheet name="53-Utility5" sheetId="297" r:id="rId269"/>
    <sheet name="54-Utility5" sheetId="304" r:id="rId270"/>
    <sheet name="41-Utility6" sheetId="268" r:id="rId271"/>
    <sheet name="41a-Utility6" sheetId="363" r:id="rId272"/>
    <sheet name="41a.1-Utility6" sheetId="364" r:id="rId273"/>
    <sheet name="42-Utility6" sheetId="365" r:id="rId274"/>
    <sheet name="43-Utility6" sheetId="270" r:id="rId275"/>
    <sheet name="44-Utility6" sheetId="271" r:id="rId276"/>
    <sheet name="45-Utility6" sheetId="272" r:id="rId277"/>
    <sheet name="46-Utility6" sheetId="273" r:id="rId278"/>
    <sheet name="47-Utility6" sheetId="274" r:id="rId279"/>
    <sheet name="48-Utility6" sheetId="275" r:id="rId280"/>
    <sheet name="49-Utility6" sheetId="276" r:id="rId281"/>
    <sheet name="49a-Utility6" sheetId="277" r:id="rId282"/>
    <sheet name="49a.1-Utility6" sheetId="317" r:id="rId283"/>
    <sheet name="50-Utility6" sheetId="278" r:id="rId284"/>
    <sheet name="51-Utility6" sheetId="279" r:id="rId285"/>
    <sheet name="51a-Utility6" sheetId="280" r:id="rId286"/>
    <sheet name="52-Utility 6" sheetId="281" r:id="rId287"/>
    <sheet name="52.1-Utility6" sheetId="340" state="hidden" r:id="rId288"/>
    <sheet name="52.2-Utility6" sheetId="341" state="hidden" r:id="rId289"/>
    <sheet name="52.3-Utility6" sheetId="342" state="hidden" r:id="rId290"/>
    <sheet name="52-Totals-Utility6" sheetId="343" r:id="rId291"/>
    <sheet name="53-Utility6" sheetId="282" r:id="rId292"/>
    <sheet name="54-Utility6" sheetId="283" r:id="rId293"/>
  </sheets>
  <definedNames>
    <definedName name="_xlnm._FilterDatabase" localSheetId="2" hidden="1">'KEY INPUTS'!$Z$6:$Z$571</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0">'41a.1-Utility2'!$A$1:$H$50</definedName>
    <definedName name="_xlnm.Print_Area" localSheetId="203">'41a.1-Utility3'!$A$1:$H$50</definedName>
    <definedName name="_xlnm.Print_Area" localSheetId="226">'41a.1-Utility4'!$A$1:$H$50</definedName>
    <definedName name="_xlnm.Print_Area" localSheetId="249">'41a.1-Utility5'!$A$1:$H$50</definedName>
    <definedName name="_xlnm.Print_Area" localSheetId="272">'41a.1-Utility6'!$A$1:$H$50</definedName>
    <definedName name="_xlnm.Print_Area" localSheetId="156">'41a-Utility1'!$A$1:$H$50</definedName>
    <definedName name="_xlnm.Print_Area" localSheetId="179">'41a-Utility2'!$A$1:$H$50</definedName>
    <definedName name="_xlnm.Print_Area" localSheetId="202">'41a-Utility3'!$A$1:$H$50</definedName>
    <definedName name="_xlnm.Print_Area" localSheetId="225">'41a-Utility4'!$A$1:$H$50</definedName>
    <definedName name="_xlnm.Print_Area" localSheetId="248">'41a-Utility5'!$A$1:$H$50</definedName>
    <definedName name="_xlnm.Print_Area" localSheetId="271">'41a-Utility6'!$A$1:$H$50</definedName>
    <definedName name="_xlnm.Print_Area" localSheetId="155">'41-Utility1 '!$A$1:$I$50</definedName>
    <definedName name="_xlnm.Print_Area" localSheetId="178">'41-Utility2'!$A$1:$I$50</definedName>
    <definedName name="_xlnm.Print_Area" localSheetId="201">'41-Utility3'!$A$1:$I$50</definedName>
    <definedName name="_xlnm.Print_Area" localSheetId="224">'41-Utility4'!$A$1:$I$50</definedName>
    <definedName name="_xlnm.Print_Area" localSheetId="247">'41-Utility5'!$A$1:$I$50</definedName>
    <definedName name="_xlnm.Print_Area" localSheetId="270">'41-Utility6'!$A$1:$I$50</definedName>
    <definedName name="_xlnm.Print_Area" localSheetId="158">'42-Utility1'!$A$1:$H$49</definedName>
    <definedName name="_xlnm.Print_Area" localSheetId="181">'42-Utility2'!$A$1:$H$49</definedName>
    <definedName name="_xlnm.Print_Area" localSheetId="204">'42-Utility3'!$A$1:$H$49</definedName>
    <definedName name="_xlnm.Print_Area" localSheetId="227">'42-Utility4'!$A$1:$H$49</definedName>
    <definedName name="_xlnm.Print_Area" localSheetId="250">'42-Utility5'!$A$1:$H$49</definedName>
    <definedName name="_xlnm.Print_Area" localSheetId="273">'42-Utility6'!$A$1:$H$49</definedName>
    <definedName name="_xlnm.Print_Area" localSheetId="159">'43-Utility1'!$A$1:$L$27</definedName>
    <definedName name="_xlnm.Print_Area" localSheetId="182">'43-Utility2'!$A$1:$L$27</definedName>
    <definedName name="_xlnm.Print_Area" localSheetId="205">'43-Utility3'!$A$1:$L$27</definedName>
    <definedName name="_xlnm.Print_Area" localSheetId="228">'43-Utility4'!$A$1:$L$27</definedName>
    <definedName name="_xlnm.Print_Area" localSheetId="251">'43-Utility5'!$A$1:$L$27</definedName>
    <definedName name="_xlnm.Print_Area" localSheetId="274">'43-Utility6'!$A$1:$L$27</definedName>
    <definedName name="_xlnm.Print_Area" localSheetId="160">'44-Utility1'!$A$1:$J$55</definedName>
    <definedName name="_xlnm.Print_Area" localSheetId="183">'44-Utility2'!$A$1:$J$55</definedName>
    <definedName name="_xlnm.Print_Area" localSheetId="206">'44-Utility3'!$A$1:$J$55</definedName>
    <definedName name="_xlnm.Print_Area" localSheetId="229">'44-Utility4'!$A$1:$J$55</definedName>
    <definedName name="_xlnm.Print_Area" localSheetId="252">'44-Utility5'!$A$1:$J$55</definedName>
    <definedName name="_xlnm.Print_Area" localSheetId="275">'44-Utility6'!$A$1:$J$55</definedName>
    <definedName name="_xlnm.Print_Area" localSheetId="161">'45-Utility1'!$A$1:$K$57</definedName>
    <definedName name="_xlnm.Print_Area" localSheetId="184">'45-Utility2'!$A$1:$K$57</definedName>
    <definedName name="_xlnm.Print_Area" localSheetId="207">'45-Utility3'!$A$1:$K$57</definedName>
    <definedName name="_xlnm.Print_Area" localSheetId="230">'45-Utility4'!$A$1:$K$57</definedName>
    <definedName name="_xlnm.Print_Area" localSheetId="253">'45-Utility5'!$A$1:$K$57</definedName>
    <definedName name="_xlnm.Print_Area" localSheetId="276">'45-Utility6'!$A$1:$K$57</definedName>
    <definedName name="_xlnm.Print_Area" localSheetId="162">'46-Utility1'!$A$1:$L$52</definedName>
    <definedName name="_xlnm.Print_Area" localSheetId="185">'46-Utility2 '!$A$1:$L$52</definedName>
    <definedName name="_xlnm.Print_Area" localSheetId="208">'46-Utility3'!$A$1:$L$52</definedName>
    <definedName name="_xlnm.Print_Area" localSheetId="231">'46-Utility4'!$A$1:$L$52</definedName>
    <definedName name="_xlnm.Print_Area" localSheetId="254">'46-Utility5'!$A$1:$L$52</definedName>
    <definedName name="_xlnm.Print_Area" localSheetId="277">'46-Utility6'!$A$1:$L$52</definedName>
    <definedName name="_xlnm.Print_Area" localSheetId="163">'47-Utility1'!$A$1:$L$69</definedName>
    <definedName name="_xlnm.Print_Area" localSheetId="186">'47-Utility2'!$A$1:$L$69</definedName>
    <definedName name="_xlnm.Print_Area" localSheetId="209">'47-Utility3'!$A$1:$L$69</definedName>
    <definedName name="_xlnm.Print_Area" localSheetId="232">'47-Utility4'!$A$1:$L$69</definedName>
    <definedName name="_xlnm.Print_Area" localSheetId="255">'47-Utility5'!$A$1:$L$69</definedName>
    <definedName name="_xlnm.Print_Area" localSheetId="278">'47-Utility6'!$A$1:$L$69</definedName>
    <definedName name="_xlnm.Print_Area" localSheetId="164">'48-Utility1'!$A$1:$N$61</definedName>
    <definedName name="_xlnm.Print_Area" localSheetId="187">'48-Utility2'!$A$1:$N$61</definedName>
    <definedName name="_xlnm.Print_Area" localSheetId="210">'48-Utility3'!$A$1:$N$61</definedName>
    <definedName name="_xlnm.Print_Area" localSheetId="233">'48-Utility4'!$A$1:$N$61</definedName>
    <definedName name="_xlnm.Print_Area" localSheetId="256">'48-Utility5'!$A$1:$N$61</definedName>
    <definedName name="_xlnm.Print_Area" localSheetId="279">'48-Utility6'!$A$1:$N$61</definedName>
    <definedName name="_xlnm.Print_Area" localSheetId="167">'49a.1-Utility1'!$A$1:$L$51</definedName>
    <definedName name="_xlnm.Print_Area" localSheetId="190">'49a.1-Utility2 '!$A$1:$L$51</definedName>
    <definedName name="_xlnm.Print_Area" localSheetId="213">'49a.1-Utility3'!$A$1:$L$51</definedName>
    <definedName name="_xlnm.Print_Area" localSheetId="236">'49a.1-Utility4'!$A$1:$L$51</definedName>
    <definedName name="_xlnm.Print_Area" localSheetId="259">'49a.1-Utility5'!$A$1:$L$51</definedName>
    <definedName name="_xlnm.Print_Area" localSheetId="282">'49a.1-Utility6'!$A$1:$L$51</definedName>
    <definedName name="_xlnm.Print_Area" localSheetId="166">'49a-Utility1'!$A$1:$L$51</definedName>
    <definedName name="_xlnm.Print_Area" localSheetId="189">'49a-Utility2'!$A$1:$L$51</definedName>
    <definedName name="_xlnm.Print_Area" localSheetId="212">'49a-Utility3'!$A$1:$L$51</definedName>
    <definedName name="_xlnm.Print_Area" localSheetId="235">'49a-Utility4'!$A$1:$L$51</definedName>
    <definedName name="_xlnm.Print_Area" localSheetId="258">'49a-Utility5'!$A$1:$L$51</definedName>
    <definedName name="_xlnm.Print_Area" localSheetId="281">'49a-Utility6'!$A$1:$L$51</definedName>
    <definedName name="_xlnm.Print_Area" localSheetId="165">'49-Utility1'!$A$1:$L$50</definedName>
    <definedName name="_xlnm.Print_Area" localSheetId="188">'49-Utility2'!$A$1:$L$50</definedName>
    <definedName name="_xlnm.Print_Area" localSheetId="211">'49-Utility3'!$A$1:$L$50</definedName>
    <definedName name="_xlnm.Print_Area" localSheetId="234">'49-Utility4'!$A$1:$L$50</definedName>
    <definedName name="_xlnm.Print_Area" localSheetId="257">'49-Utility5'!$A$1:$L$50</definedName>
    <definedName name="_xlnm.Print_Area" localSheetId="280">'49-Utility6'!$A$1:$L$50</definedName>
    <definedName name="_xlnm.Print_Area" localSheetId="12">'4-Trial Bal-Pub Assist Fnd'!$A$1:$H$46</definedName>
    <definedName name="_xlnm.Print_Area" localSheetId="168">'50-Utility1'!$A$1:$M$30</definedName>
    <definedName name="_xlnm.Print_Area" localSheetId="191">'50-Utility2'!$A$1:$M$30</definedName>
    <definedName name="_xlnm.Print_Area" localSheetId="214">'50-Utility3'!$A$1:$M$30</definedName>
    <definedName name="_xlnm.Print_Area" localSheetId="237">'50-Utility4'!$A$1:$M$30</definedName>
    <definedName name="_xlnm.Print_Area" localSheetId="260">'50-Utility5'!$A$1:$M$30</definedName>
    <definedName name="_xlnm.Print_Area" localSheetId="283">'50-Utility6'!$A$1:$M$30</definedName>
    <definedName name="_xlnm.Print_Area" localSheetId="170">'51a-Utility1'!$A$1:$I$27</definedName>
    <definedName name="_xlnm.Print_Area" localSheetId="193">'51a-Utility2'!$A$1:$I$27</definedName>
    <definedName name="_xlnm.Print_Area" localSheetId="216">'51a-Utility3'!$A$1:$I$27</definedName>
    <definedName name="_xlnm.Print_Area" localSheetId="239">'51a-Utility4'!$A$1:$I$27</definedName>
    <definedName name="_xlnm.Print_Area" localSheetId="262">'51a-Utility5'!$A$1:$I$27</definedName>
    <definedName name="_xlnm.Print_Area" localSheetId="285">'51a-Utility6'!$A$1:$I$27</definedName>
    <definedName name="_xlnm.Print_Area" localSheetId="169">'51-Utility1'!$A$1:$L$29</definedName>
    <definedName name="_xlnm.Print_Area" localSheetId="192">'51-Utility2'!$A$1:$L$29</definedName>
    <definedName name="_xlnm.Print_Area" localSheetId="215">'51-Utility3'!$A$1:$L$29</definedName>
    <definedName name="_xlnm.Print_Area" localSheetId="238">'51-Utility4'!$A$1:$L$29</definedName>
    <definedName name="_xlnm.Print_Area" localSheetId="261">'51-Utility5'!$A$1:$L$29</definedName>
    <definedName name="_xlnm.Print_Area" localSheetId="284">'51-Utility6'!$A$1:$L$29</definedName>
    <definedName name="_xlnm.Print_Area" localSheetId="172">'52.1-Utility1'!$A$1:$L$28</definedName>
    <definedName name="_xlnm.Print_Area" localSheetId="195">'52.1-Utility2'!$A$1:$L$28</definedName>
    <definedName name="_xlnm.Print_Area" localSheetId="218">'52.1-Utility3'!$A$1:$L$28</definedName>
    <definedName name="_xlnm.Print_Area" localSheetId="241">'52.1-Utility4'!$A$1:$L$28</definedName>
    <definedName name="_xlnm.Print_Area" localSheetId="264">'52.1-Utility5'!$A$1:$L$28</definedName>
    <definedName name="_xlnm.Print_Area" localSheetId="287">'52.1-Utility6'!$A$1:$L$28</definedName>
    <definedName name="_xlnm.Print_Area" localSheetId="173">'52.2-Utility1'!$A$1:$L$28</definedName>
    <definedName name="_xlnm.Print_Area" localSheetId="196">'52.2-Utility2'!$A$1:$L$28</definedName>
    <definedName name="_xlnm.Print_Area" localSheetId="219">'52.2-Utility3'!$A$1:$L$28</definedName>
    <definedName name="_xlnm.Print_Area" localSheetId="242">'52.2-Utility4'!$A$1:$L$28</definedName>
    <definedName name="_xlnm.Print_Area" localSheetId="265">'52.2-Utility5'!$A$1:$L$28</definedName>
    <definedName name="_xlnm.Print_Area" localSheetId="288">'52.2-Utility6'!$A$1:$L$28</definedName>
    <definedName name="_xlnm.Print_Area" localSheetId="174">'52.3-Utility1'!$A$1:$L$28</definedName>
    <definedName name="_xlnm.Print_Area" localSheetId="197">'52.3-Utility2'!$A$1:$L$28</definedName>
    <definedName name="_xlnm.Print_Area" localSheetId="220">'52.3-Utility3'!$A$1:$L$28</definedName>
    <definedName name="_xlnm.Print_Area" localSheetId="243">'52.3-Utility4'!$A$1:$L$28</definedName>
    <definedName name="_xlnm.Print_Area" localSheetId="266">'52.3-Utility5'!$A$1:$L$28</definedName>
    <definedName name="_xlnm.Print_Area" localSheetId="289">'52.3-Utility6'!$A$1:$L$28</definedName>
    <definedName name="_xlnm.Print_Area" localSheetId="175">'52-Totals-Utility 1'!$A$1:$L$28</definedName>
    <definedName name="_xlnm.Print_Area" localSheetId="198">'52-Totals-Utility2'!$A$1:$L$28</definedName>
    <definedName name="_xlnm.Print_Area" localSheetId="221">'52-Totals-Utility3'!$A$1:$L$28</definedName>
    <definedName name="_xlnm.Print_Area" localSheetId="244">'52-Totals-Utility4'!$A$1:$L$28</definedName>
    <definedName name="_xlnm.Print_Area" localSheetId="267">'52-Totals-Utility5'!$A$1:$L$28</definedName>
    <definedName name="_xlnm.Print_Area" localSheetId="290">'52-Totals-Utility6'!$A$1:$L$28</definedName>
    <definedName name="_xlnm.Print_Area" localSheetId="286">'52-Utility 6'!$A$1:$L$28</definedName>
    <definedName name="_xlnm.Print_Area" localSheetId="171">'52-Utility1'!$A$1:$L$28</definedName>
    <definedName name="_xlnm.Print_Area" localSheetId="194">'52-Utility2'!$A$1:$L$28</definedName>
    <definedName name="_xlnm.Print_Area" localSheetId="217">'52-Utility3'!$A$1:$L$28</definedName>
    <definedName name="_xlnm.Print_Area" localSheetId="240">'52-Utility4'!$A$1:$L$28</definedName>
    <definedName name="_xlnm.Print_Area" localSheetId="263">'52-Utility5'!$A$1:$L$28</definedName>
    <definedName name="_xlnm.Print_Area" localSheetId="176">'53-Utility1'!$A$1:$J$54</definedName>
    <definedName name="_xlnm.Print_Area" localSheetId="199">'53-Utility2'!$A$1:$J$54</definedName>
    <definedName name="_xlnm.Print_Area" localSheetId="222">'53-Utility3'!$A$1:$J$54</definedName>
    <definedName name="_xlnm.Print_Area" localSheetId="245">'53-Utility4'!$A$1:$J$54</definedName>
    <definedName name="_xlnm.Print_Area" localSheetId="268">'53-Utility5'!$A$1:$J$54</definedName>
    <definedName name="_xlnm.Print_Area" localSheetId="291">'53-Utility6'!$A$1:$J$54</definedName>
    <definedName name="_xlnm.Print_Area" localSheetId="177">'54-Utility1'!$A$1:$J$52</definedName>
    <definedName name="_xlnm.Print_Area" localSheetId="200">'54-Utility2'!$A$1:$J$52</definedName>
    <definedName name="_xlnm.Print_Area" localSheetId="223">'54-Utility3'!$A$1:$J$52</definedName>
    <definedName name="_xlnm.Print_Area" localSheetId="246">'54-Utility4'!$A$1:$J$52</definedName>
    <definedName name="_xlnm.Print_Area" localSheetId="269">'54-Utility5'!$A$1:$J$52</definedName>
    <definedName name="_xlnm.Print_Area" localSheetId="292">'54-Utility6'!$A$1:$J$52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s>
  <calcPr calcId="191029"/>
</workbook>
</file>

<file path=xl/calcChain.xml><?xml version="1.0" encoding="utf-8"?>
<calcChain xmlns="http://schemas.openxmlformats.org/spreadsheetml/2006/main">
  <c r="H25" i="32" l="1"/>
  <c r="L24" i="26" l="1"/>
  <c r="H26" i="32"/>
  <c r="H21" i="32"/>
  <c r="H13" i="1" l="1"/>
  <c r="G6" i="12"/>
  <c r="G35" i="20" l="1"/>
  <c r="I14" i="27" l="1"/>
  <c r="M9" i="36" l="1"/>
  <c r="H18" i="34" l="1"/>
  <c r="I11" i="29"/>
  <c r="L26" i="30"/>
  <c r="N5" i="30"/>
  <c r="K41" i="42" l="1"/>
  <c r="G10" i="12" l="1"/>
  <c r="K11" i="109" l="1"/>
  <c r="L9" i="109"/>
  <c r="K10" i="114"/>
  <c r="K9" i="114"/>
  <c r="K13" i="113"/>
  <c r="G13" i="103" l="1"/>
  <c r="I36" i="107"/>
  <c r="L19" i="322" l="1"/>
  <c r="K19" i="322" s="1"/>
  <c r="L21" i="322"/>
  <c r="L17" i="322"/>
  <c r="L16" i="322"/>
  <c r="K16" i="322" s="1"/>
  <c r="L15" i="322"/>
  <c r="K15" i="322" s="1"/>
  <c r="L14" i="322"/>
  <c r="K14" i="322" s="1"/>
  <c r="L11" i="322"/>
  <c r="L20" i="322"/>
  <c r="K12" i="322"/>
  <c r="K13" i="322"/>
  <c r="K17" i="322"/>
  <c r="K18" i="322"/>
  <c r="K11" i="322"/>
  <c r="G13" i="119"/>
  <c r="G14" i="119"/>
  <c r="G12" i="119"/>
  <c r="K10" i="43" l="1"/>
  <c r="K11" i="43"/>
  <c r="K12" i="43"/>
  <c r="K13" i="43"/>
  <c r="K14" i="43"/>
  <c r="K15" i="43"/>
  <c r="K16" i="43"/>
  <c r="K9" i="43"/>
  <c r="L14" i="218" l="1"/>
  <c r="L15" i="218"/>
  <c r="L16" i="218"/>
  <c r="K16" i="218" s="1"/>
  <c r="L17" i="218"/>
  <c r="K17" i="218" s="1"/>
  <c r="L13" i="218"/>
  <c r="K13" i="218" s="1"/>
  <c r="L11" i="218"/>
  <c r="K11" i="218" s="1"/>
  <c r="L10" i="218"/>
  <c r="K10" i="218" s="1"/>
  <c r="L24" i="46"/>
  <c r="K24" i="46" s="1"/>
  <c r="L23" i="46"/>
  <c r="L22" i="46"/>
  <c r="K22" i="46" s="1"/>
  <c r="L18" i="46"/>
  <c r="K18" i="46" s="1"/>
  <c r="L23" i="45"/>
  <c r="K23" i="45" s="1"/>
  <c r="L13" i="45"/>
  <c r="K15" i="218"/>
  <c r="K14" i="218"/>
  <c r="K12" i="218"/>
  <c r="K23" i="46"/>
  <c r="K21" i="46"/>
  <c r="K20" i="46"/>
  <c r="K19" i="46"/>
  <c r="K17" i="46"/>
  <c r="K16" i="46"/>
  <c r="K15" i="46"/>
  <c r="K14" i="46"/>
  <c r="K13" i="46"/>
  <c r="K12" i="46"/>
  <c r="K11" i="46"/>
  <c r="K10" i="46"/>
  <c r="K10" i="45"/>
  <c r="K11" i="45"/>
  <c r="K12" i="45"/>
  <c r="K13" i="45"/>
  <c r="K14" i="45"/>
  <c r="K15" i="45"/>
  <c r="K16" i="45"/>
  <c r="K17" i="45"/>
  <c r="K18" i="45"/>
  <c r="K19" i="45"/>
  <c r="K20" i="45"/>
  <c r="K21" i="45"/>
  <c r="K22" i="45"/>
  <c r="K24" i="45"/>
  <c r="K25" i="45"/>
  <c r="K26" i="45"/>
  <c r="K9" i="45"/>
  <c r="H13" i="12" l="1"/>
  <c r="H6" i="12"/>
  <c r="F6" i="12"/>
  <c r="G14" i="12" l="1"/>
  <c r="H18" i="12"/>
  <c r="F18" i="12"/>
  <c r="G18" i="12"/>
  <c r="G15" i="12"/>
  <c r="J18" i="249" l="1"/>
  <c r="J18" i="108"/>
  <c r="G40" i="367" l="1"/>
  <c r="H41" i="367" l="1"/>
  <c r="K9" i="39" l="1"/>
  <c r="K8" i="39"/>
  <c r="F55" i="57"/>
  <c r="H56" i="57"/>
  <c r="L23" i="111" l="1"/>
  <c r="J23" i="111"/>
  <c r="H23" i="111"/>
  <c r="L23" i="228"/>
  <c r="J23" i="228"/>
  <c r="H23" i="228"/>
  <c r="L23" i="240"/>
  <c r="J23" i="240"/>
  <c r="H23" i="240"/>
  <c r="L23" i="252"/>
  <c r="J23" i="252"/>
  <c r="H23" i="252"/>
  <c r="L23" i="264"/>
  <c r="J23" i="264"/>
  <c r="H23" i="264"/>
  <c r="L23" i="275"/>
  <c r="J23" i="275"/>
  <c r="H23" i="275"/>
  <c r="B27" i="96"/>
  <c r="B16" i="96"/>
  <c r="E4" i="330" l="1"/>
  <c r="E4" i="325"/>
  <c r="H25" i="1"/>
  <c r="B6" i="344"/>
  <c r="B3" i="110"/>
  <c r="B5" i="111"/>
  <c r="B4" i="112"/>
  <c r="B28" i="119"/>
  <c r="B2" i="114"/>
  <c r="J44" i="27"/>
  <c r="J40" i="27"/>
  <c r="G32" i="29" l="1"/>
  <c r="G16" i="20"/>
  <c r="B8" i="20"/>
  <c r="I30" i="12"/>
  <c r="I29" i="12"/>
  <c r="I28" i="12"/>
  <c r="I12" i="201" l="1"/>
  <c r="I11" i="201"/>
  <c r="I12" i="202"/>
  <c r="I11" i="202"/>
  <c r="I12" i="203"/>
  <c r="I11" i="203"/>
  <c r="I12" i="200"/>
  <c r="I11" i="200"/>
  <c r="H45" i="8"/>
  <c r="N18" i="37"/>
  <c r="I29" i="31" l="1"/>
  <c r="H28" i="31"/>
  <c r="G38" i="21"/>
  <c r="G17" i="21"/>
  <c r="H33" i="268" l="1"/>
  <c r="H33" i="256"/>
  <c r="H33" i="244"/>
  <c r="H33" i="232"/>
  <c r="H33" i="220"/>
  <c r="H33" i="103"/>
  <c r="I24" i="118"/>
  <c r="I24" i="300"/>
  <c r="I24" i="299"/>
  <c r="I24" i="298"/>
  <c r="I24" i="297"/>
  <c r="I24" i="282"/>
  <c r="B6" i="268" l="1"/>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16" i="317"/>
  <c r="B4" i="317"/>
  <c r="B16" i="277"/>
  <c r="B4" i="277"/>
  <c r="B16" i="266"/>
  <c r="B16" i="315"/>
  <c r="B4" i="315"/>
  <c r="B4" i="266"/>
  <c r="B16" i="313"/>
  <c r="B4" i="313"/>
  <c r="B16" i="254"/>
  <c r="B4" i="254"/>
  <c r="B4" i="311"/>
  <c r="B16" i="311"/>
  <c r="B16" i="242"/>
  <c r="B4" i="242"/>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8" i="283" l="1"/>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 i="293" l="1"/>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G11" i="113" l="1"/>
  <c r="C26" i="344"/>
  <c r="H40" i="344" l="1"/>
  <c r="H42" i="344"/>
  <c r="B4" i="307"/>
  <c r="B16" i="307"/>
  <c r="B27" i="230"/>
  <c r="B27" i="307"/>
  <c r="B16" i="230"/>
  <c r="B4" i="230"/>
  <c r="B27" i="112"/>
  <c r="B16" i="112"/>
  <c r="B5" i="228"/>
  <c r="B33" i="227"/>
  <c r="B33" i="110"/>
  <c r="B33" i="226"/>
  <c r="B33" i="109"/>
  <c r="B17" i="226"/>
  <c r="B17" i="109"/>
  <c r="B5" i="225"/>
  <c r="B5" i="108"/>
  <c r="B2" i="223"/>
  <c r="B2" i="106"/>
  <c r="B6" i="103"/>
  <c r="B6" i="220"/>
  <c r="B6" i="104"/>
  <c r="B3" i="119"/>
  <c r="B30" i="118"/>
  <c r="B3" i="118"/>
  <c r="B2" i="322"/>
  <c r="B2" i="321"/>
  <c r="B2" i="320"/>
  <c r="B2" i="319"/>
  <c r="B2" i="117"/>
  <c r="B2" i="116"/>
  <c r="B2" i="115"/>
  <c r="I22" i="114"/>
  <c r="B27" i="306"/>
  <c r="B27" i="113"/>
  <c r="B16" i="306"/>
  <c r="B4" i="306"/>
  <c r="B4" i="113"/>
  <c r="B16" i="113"/>
  <c r="L35" i="273" l="1"/>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G43" i="51" l="1"/>
  <c r="G42" i="51"/>
  <c r="G41" i="51"/>
  <c r="G40" i="51"/>
  <c r="G39" i="51"/>
  <c r="G38" i="51"/>
  <c r="G37" i="51"/>
  <c r="G36" i="51"/>
  <c r="G35" i="51"/>
  <c r="G34" i="51"/>
  <c r="I17" i="58"/>
  <c r="H21" i="41"/>
  <c r="G21" i="41"/>
  <c r="H21" i="40"/>
  <c r="G21" i="40"/>
  <c r="I42" i="39"/>
  <c r="I47" i="39" s="1"/>
  <c r="L40" i="39"/>
  <c r="L30" i="39"/>
  <c r="L20" i="39"/>
  <c r="I11" i="28"/>
  <c r="J20" i="22"/>
  <c r="H41" i="21"/>
  <c r="H20" i="21"/>
  <c r="G38" i="20"/>
  <c r="H38" i="20"/>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G40" i="6" l="1"/>
  <c r="H40" i="6"/>
  <c r="H11" i="1"/>
  <c r="I20" i="102"/>
  <c r="F39" i="57"/>
  <c r="B39" i="57"/>
  <c r="H39" i="57"/>
  <c r="L38" i="57"/>
  <c r="B38" i="57"/>
  <c r="B42" i="283"/>
  <c r="B34" i="283"/>
  <c r="B41" i="282"/>
  <c r="B35" i="282"/>
  <c r="B24" i="282"/>
  <c r="B8" i="282"/>
  <c r="K4" i="343"/>
  <c r="E4" i="343"/>
  <c r="K4" i="342"/>
  <c r="E4" i="342"/>
  <c r="K4" i="341"/>
  <c r="E4" i="341"/>
  <c r="K4" i="340"/>
  <c r="E4" i="340"/>
  <c r="K4" i="281"/>
  <c r="E4" i="281"/>
  <c r="B41" i="297"/>
  <c r="B35" i="297"/>
  <c r="B24" i="297"/>
  <c r="B8" i="297"/>
  <c r="B41" i="298"/>
  <c r="B35" i="298"/>
  <c r="B24" i="298"/>
  <c r="B8" i="298"/>
  <c r="B41" i="299"/>
  <c r="B35" i="299"/>
  <c r="B24" i="299"/>
  <c r="B8" i="299"/>
  <c r="B41" i="300"/>
  <c r="B35" i="300"/>
  <c r="B24" i="300"/>
  <c r="B8" i="300"/>
  <c r="J36" i="22" l="1"/>
  <c r="J39" i="22" s="1"/>
  <c r="K4" i="339"/>
  <c r="E4" i="339"/>
  <c r="K4" i="338"/>
  <c r="E4" i="338"/>
  <c r="K4" i="337"/>
  <c r="E4" i="337"/>
  <c r="K4" i="336"/>
  <c r="E4" i="336"/>
  <c r="K4" i="335" l="1"/>
  <c r="E4" i="335"/>
  <c r="K4" i="333"/>
  <c r="E4" i="333"/>
  <c r="K4" i="332"/>
  <c r="E4" i="332"/>
  <c r="K4" i="331"/>
  <c r="E4" i="331"/>
  <c r="K4" i="330"/>
  <c r="K4" i="329"/>
  <c r="E4" i="329"/>
  <c r="K4" i="328"/>
  <c r="E4" i="328"/>
  <c r="K4" i="327"/>
  <c r="E4" i="327"/>
  <c r="K4" i="326"/>
  <c r="E4" i="326"/>
  <c r="K4" i="325"/>
  <c r="K4" i="324"/>
  <c r="E4" i="324"/>
  <c r="K4" i="323"/>
  <c r="E4" i="323"/>
  <c r="K4" i="322"/>
  <c r="E4" i="322"/>
  <c r="K4" i="321"/>
  <c r="E4" i="321"/>
  <c r="K4" i="320"/>
  <c r="E4" i="320"/>
  <c r="K4" i="319"/>
  <c r="E4" i="319"/>
  <c r="H41" i="317"/>
  <c r="G41" i="317"/>
  <c r="B31" i="317"/>
  <c r="B29" i="317"/>
  <c r="I28" i="317"/>
  <c r="I30" i="317" s="1"/>
  <c r="K32" i="317" s="1"/>
  <c r="H23" i="317"/>
  <c r="G22" i="317"/>
  <c r="G23" i="317" s="1"/>
  <c r="B22" i="317"/>
  <c r="B17" i="317"/>
  <c r="H12" i="317"/>
  <c r="G11" i="317"/>
  <c r="G12" i="317" s="1"/>
  <c r="B11" i="317"/>
  <c r="B7" i="317"/>
  <c r="H41" i="315"/>
  <c r="G41" i="315"/>
  <c r="B31" i="315"/>
  <c r="B29" i="315"/>
  <c r="I28" i="315"/>
  <c r="I30" i="315" s="1"/>
  <c r="K32" i="315" s="1"/>
  <c r="H23" i="315"/>
  <c r="G22" i="315"/>
  <c r="G23" i="315" s="1"/>
  <c r="B22" i="315"/>
  <c r="B17" i="315"/>
  <c r="H12" i="315"/>
  <c r="G11" i="315"/>
  <c r="G12" i="315" s="1"/>
  <c r="B11" i="315"/>
  <c r="B7" i="315"/>
  <c r="H41" i="313"/>
  <c r="G41" i="313"/>
  <c r="B31" i="313"/>
  <c r="B29" i="313"/>
  <c r="I28" i="313"/>
  <c r="I30" i="313" s="1"/>
  <c r="K32" i="313" s="1"/>
  <c r="H23" i="313"/>
  <c r="G22" i="313"/>
  <c r="G23" i="313" s="1"/>
  <c r="B22" i="313"/>
  <c r="B17" i="313"/>
  <c r="H12" i="313"/>
  <c r="G11" i="313"/>
  <c r="G12" i="313" s="1"/>
  <c r="B11" i="313"/>
  <c r="B7" i="313"/>
  <c r="H41" i="311"/>
  <c r="G41" i="311"/>
  <c r="B31" i="311"/>
  <c r="B29" i="311"/>
  <c r="I28" i="311"/>
  <c r="I30" i="311" s="1"/>
  <c r="K32" i="311" s="1"/>
  <c r="H23" i="311"/>
  <c r="G22" i="311"/>
  <c r="G23" i="311" s="1"/>
  <c r="B22" i="311"/>
  <c r="B17" i="311"/>
  <c r="H12" i="311"/>
  <c r="G11" i="311"/>
  <c r="G12" i="311" s="1"/>
  <c r="B11" i="311"/>
  <c r="B7" i="311"/>
  <c r="H41" i="307"/>
  <c r="G41" i="307"/>
  <c r="B31" i="307"/>
  <c r="B29" i="307"/>
  <c r="I28" i="307"/>
  <c r="I30" i="307" s="1"/>
  <c r="K32" i="307" s="1"/>
  <c r="H23" i="307"/>
  <c r="G22" i="307"/>
  <c r="G23" i="307" s="1"/>
  <c r="B22" i="307"/>
  <c r="B17" i="307"/>
  <c r="H12" i="307"/>
  <c r="G11" i="307"/>
  <c r="G12" i="307" s="1"/>
  <c r="B11" i="307"/>
  <c r="B7" i="307"/>
  <c r="H41" i="306"/>
  <c r="G41" i="306"/>
  <c r="B31" i="306"/>
  <c r="B29" i="306"/>
  <c r="I28" i="306"/>
  <c r="I30" i="306" s="1"/>
  <c r="K32" i="306" s="1"/>
  <c r="H23" i="306"/>
  <c r="G22" i="306"/>
  <c r="G23" i="306" s="1"/>
  <c r="B22" i="306"/>
  <c r="B17" i="306"/>
  <c r="H12" i="306"/>
  <c r="G11" i="306"/>
  <c r="G12" i="306" s="1"/>
  <c r="B11" i="306"/>
  <c r="B7" i="306"/>
  <c r="J5" i="279"/>
  <c r="J5" i="284"/>
  <c r="J5" i="285"/>
  <c r="J5" i="287"/>
  <c r="J5" i="286"/>
  <c r="J5" i="115"/>
  <c r="J5" i="278"/>
  <c r="J5" i="267"/>
  <c r="J5" i="255"/>
  <c r="J5" i="243"/>
  <c r="J5" i="114"/>
  <c r="J5" i="231"/>
  <c r="J19" i="107" l="1"/>
  <c r="J18" i="107"/>
  <c r="L12" i="41"/>
  <c r="L13" i="41"/>
  <c r="L14" i="41"/>
  <c r="L15" i="41"/>
  <c r="L16" i="41"/>
  <c r="L17" i="41"/>
  <c r="L18" i="41"/>
  <c r="L19" i="41"/>
  <c r="L20" i="41"/>
  <c r="L11" i="41"/>
  <c r="L10" i="41"/>
  <c r="L12" i="40"/>
  <c r="L13" i="40"/>
  <c r="L14" i="40"/>
  <c r="L15" i="40"/>
  <c r="L16" i="40"/>
  <c r="L17" i="40"/>
  <c r="L18" i="40"/>
  <c r="L19" i="40"/>
  <c r="L20" i="40"/>
  <c r="L11" i="40"/>
  <c r="L10" i="40"/>
  <c r="I17" i="34"/>
  <c r="I20" i="34" s="1"/>
  <c r="H21" i="24"/>
  <c r="J12" i="24"/>
  <c r="J13" i="24"/>
  <c r="G9" i="11"/>
  <c r="L23" i="10"/>
  <c r="L24" i="10"/>
  <c r="L25" i="10"/>
  <c r="L22" i="10"/>
  <c r="L16" i="10"/>
  <c r="L17" i="10"/>
  <c r="L18" i="10"/>
  <c r="L19" i="10"/>
  <c r="L20" i="10"/>
  <c r="L15" i="10"/>
  <c r="L10" i="10"/>
  <c r="L11" i="10"/>
  <c r="L12" i="10"/>
  <c r="L13" i="10"/>
  <c r="L9" i="10"/>
  <c r="L21" i="41" l="1"/>
  <c r="H31" i="220"/>
  <c r="H39" i="220" s="1"/>
  <c r="L39" i="226" s="1"/>
  <c r="H31" i="232"/>
  <c r="H31" i="244"/>
  <c r="H31" i="256"/>
  <c r="H31" i="268"/>
  <c r="J43" i="304"/>
  <c r="H42" i="362"/>
  <c r="B42" i="304"/>
  <c r="B34" i="304"/>
  <c r="J22" i="304"/>
  <c r="I22" i="304"/>
  <c r="H22" i="304"/>
  <c r="G22" i="304"/>
  <c r="J43" i="303"/>
  <c r="B42" i="303"/>
  <c r="B34" i="303"/>
  <c r="J22" i="303"/>
  <c r="I22" i="303"/>
  <c r="H22" i="303"/>
  <c r="G22" i="303"/>
  <c r="J43" i="302"/>
  <c r="B42" i="302"/>
  <c r="B34" i="302"/>
  <c r="J22" i="302"/>
  <c r="I22" i="302"/>
  <c r="H22" i="302"/>
  <c r="G22" i="302"/>
  <c r="J43" i="301"/>
  <c r="B42" i="301"/>
  <c r="B34"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K4" i="296"/>
  <c r="E4" i="296"/>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K4" i="295"/>
  <c r="E4" i="295"/>
  <c r="L27" i="294"/>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K4" i="294"/>
  <c r="E4" i="294"/>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K4" i="293"/>
  <c r="E4" i="293"/>
  <c r="I23" i="292"/>
  <c r="H23" i="292"/>
  <c r="G23" i="292"/>
  <c r="H19" i="356" s="1"/>
  <c r="I23" i="291"/>
  <c r="H23" i="291"/>
  <c r="G23" i="291"/>
  <c r="H19" i="358" s="1"/>
  <c r="I23" i="290"/>
  <c r="H23" i="290"/>
  <c r="G23" i="290"/>
  <c r="H19" i="360" s="1"/>
  <c r="I23" i="289"/>
  <c r="H23" i="289"/>
  <c r="G23" i="289"/>
  <c r="H19" i="362" s="1"/>
  <c r="K23" i="287"/>
  <c r="J23" i="287"/>
  <c r="G23" i="287"/>
  <c r="E23" i="287"/>
  <c r="K23" i="286"/>
  <c r="J23" i="286"/>
  <c r="G23" i="286"/>
  <c r="E23" i="286"/>
  <c r="K23" i="285"/>
  <c r="J23" i="285"/>
  <c r="G23" i="285"/>
  <c r="E23" i="285"/>
  <c r="K23" i="284"/>
  <c r="J23" i="284"/>
  <c r="G23" i="284"/>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I25" i="282" l="1"/>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L42" i="332" l="1"/>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L42" i="341" l="1"/>
  <c r="K9" i="342"/>
  <c r="K27" i="342" s="1"/>
  <c r="L42" i="335"/>
  <c r="L42" i="329"/>
  <c r="K9" i="330"/>
  <c r="K27" i="330" s="1"/>
  <c r="L42" i="325"/>
  <c r="L42" i="326"/>
  <c r="L42" i="342" l="1"/>
  <c r="K9" i="343"/>
  <c r="K27" i="343" s="1"/>
  <c r="L42" i="343" s="1"/>
  <c r="L42" i="330"/>
  <c r="I26" i="278"/>
  <c r="D26" i="278"/>
  <c r="I24" i="278"/>
  <c r="K18" i="278"/>
  <c r="M23" i="278" s="1"/>
  <c r="M25" i="278" s="1"/>
  <c r="M27" i="278" s="1"/>
  <c r="J18" i="278"/>
  <c r="G18" i="278"/>
  <c r="H20" i="364" s="1"/>
  <c r="E18" i="278"/>
  <c r="H41" i="277"/>
  <c r="G41" i="277"/>
  <c r="B31" i="277"/>
  <c r="B29" i="277"/>
  <c r="I28" i="277"/>
  <c r="I30" i="277" s="1"/>
  <c r="K32" i="277" s="1"/>
  <c r="H23" i="277"/>
  <c r="G22" i="277"/>
  <c r="G23" i="277" s="1"/>
  <c r="B22" i="277"/>
  <c r="B17" i="277"/>
  <c r="H12" i="277"/>
  <c r="G11" i="277"/>
  <c r="B11" i="277"/>
  <c r="B7" i="277"/>
  <c r="H41" i="276"/>
  <c r="G41" i="276"/>
  <c r="B31" i="276"/>
  <c r="B29" i="276"/>
  <c r="I28" i="276"/>
  <c r="I30" i="276" s="1"/>
  <c r="K32" i="276" s="1"/>
  <c r="H23" i="276"/>
  <c r="G22" i="276"/>
  <c r="H17" i="364" s="1"/>
  <c r="B22" i="276"/>
  <c r="B17" i="276"/>
  <c r="H12" i="276"/>
  <c r="G11" i="276"/>
  <c r="B11" i="276"/>
  <c r="B7" i="276"/>
  <c r="N23" i="275"/>
  <c r="G26" i="268" s="1"/>
  <c r="N22" i="275"/>
  <c r="N21" i="275"/>
  <c r="L20" i="275"/>
  <c r="J20" i="275"/>
  <c r="H20" i="275"/>
  <c r="N19" i="275"/>
  <c r="N18" i="275"/>
  <c r="N17" i="275"/>
  <c r="N16" i="275"/>
  <c r="N15" i="275"/>
  <c r="N13" i="275"/>
  <c r="L51" i="274"/>
  <c r="L45" i="274"/>
  <c r="L21" i="274"/>
  <c r="L24" i="274" s="1"/>
  <c r="G20" i="268" s="1"/>
  <c r="L44" i="273"/>
  <c r="B27" i="273"/>
  <c r="B20"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I26" i="267"/>
  <c r="D26" i="267"/>
  <c r="I24" i="267"/>
  <c r="K18" i="267"/>
  <c r="M23" i="267" s="1"/>
  <c r="M25" i="267" s="1"/>
  <c r="M27" i="267" s="1"/>
  <c r="J18" i="267"/>
  <c r="G18" i="267"/>
  <c r="H20" i="362" s="1"/>
  <c r="E18" i="267"/>
  <c r="H41" i="266"/>
  <c r="G41" i="266"/>
  <c r="B31" i="266"/>
  <c r="B29" i="266"/>
  <c r="I28" i="266"/>
  <c r="I30" i="266" s="1"/>
  <c r="K32" i="266" s="1"/>
  <c r="H23" i="266"/>
  <c r="G22" i="266"/>
  <c r="G23" i="266" s="1"/>
  <c r="B22" i="266"/>
  <c r="B17" i="266"/>
  <c r="H12" i="266"/>
  <c r="G11" i="266"/>
  <c r="B11" i="266"/>
  <c r="B7" i="266"/>
  <c r="H41" i="265"/>
  <c r="G41" i="265"/>
  <c r="B31" i="265"/>
  <c r="B29" i="265"/>
  <c r="I30" i="265"/>
  <c r="K32" i="265" s="1"/>
  <c r="H23" i="265"/>
  <c r="G22" i="265"/>
  <c r="H17" i="362" s="1"/>
  <c r="B22" i="265"/>
  <c r="B17" i="265"/>
  <c r="H12" i="265"/>
  <c r="G11" i="265"/>
  <c r="G12" i="265" s="1"/>
  <c r="B11" i="265"/>
  <c r="B7" i="265"/>
  <c r="N23" i="264"/>
  <c r="G26" i="256" s="1"/>
  <c r="N22" i="264"/>
  <c r="N21" i="264"/>
  <c r="L20" i="264"/>
  <c r="J20" i="264"/>
  <c r="H20" i="264"/>
  <c r="N19" i="264"/>
  <c r="N18" i="264"/>
  <c r="N17" i="264"/>
  <c r="N16" i="264"/>
  <c r="N15" i="264"/>
  <c r="N13" i="264"/>
  <c r="L51" i="263"/>
  <c r="L45" i="263"/>
  <c r="L21" i="263"/>
  <c r="L24" i="263" s="1"/>
  <c r="G20" i="256" s="1"/>
  <c r="L44" i="262"/>
  <c r="B27" i="262"/>
  <c r="B20"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L19" i="259"/>
  <c r="L18" i="259"/>
  <c r="L17" i="259"/>
  <c r="L16" i="259"/>
  <c r="L15" i="259"/>
  <c r="L13" i="259"/>
  <c r="L12" i="259"/>
  <c r="L11" i="259"/>
  <c r="L10" i="259"/>
  <c r="L9" i="259"/>
  <c r="G43" i="258"/>
  <c r="I26" i="255"/>
  <c r="D26" i="255"/>
  <c r="I24" i="255"/>
  <c r="K18" i="255"/>
  <c r="M23" i="255" s="1"/>
  <c r="M25" i="255" s="1"/>
  <c r="M27" i="255" s="1"/>
  <c r="J18" i="255"/>
  <c r="G18" i="255"/>
  <c r="H20" i="360" s="1"/>
  <c r="E18" i="255"/>
  <c r="H41" i="254"/>
  <c r="G41" i="254"/>
  <c r="B31" i="254"/>
  <c r="B29" i="254"/>
  <c r="I28" i="254"/>
  <c r="I30" i="254" s="1"/>
  <c r="K32" i="254" s="1"/>
  <c r="H23" i="254"/>
  <c r="G22" i="254"/>
  <c r="G23" i="254" s="1"/>
  <c r="B22" i="254"/>
  <c r="B17" i="254"/>
  <c r="H12" i="254"/>
  <c r="G11" i="254"/>
  <c r="B11" i="254"/>
  <c r="B7" i="254"/>
  <c r="H41" i="253"/>
  <c r="G41" i="253"/>
  <c r="B31" i="253"/>
  <c r="B29" i="253"/>
  <c r="I28" i="253"/>
  <c r="I30" i="253" s="1"/>
  <c r="K32" i="253" s="1"/>
  <c r="H23" i="253"/>
  <c r="G22" i="253"/>
  <c r="B22" i="253"/>
  <c r="B17" i="253"/>
  <c r="H12" i="253"/>
  <c r="G11" i="253"/>
  <c r="G12" i="253" s="1"/>
  <c r="B11" i="253"/>
  <c r="B7" i="253"/>
  <c r="N23" i="252"/>
  <c r="G26" i="244" s="1"/>
  <c r="N22" i="252"/>
  <c r="N21" i="252"/>
  <c r="L20" i="252"/>
  <c r="J20" i="252"/>
  <c r="H20" i="252"/>
  <c r="N19" i="252"/>
  <c r="N18" i="252"/>
  <c r="N17" i="252"/>
  <c r="N16" i="252"/>
  <c r="N15" i="252"/>
  <c r="N13" i="252"/>
  <c r="L51" i="251"/>
  <c r="L45" i="251"/>
  <c r="L21" i="251"/>
  <c r="L24" i="251" s="1"/>
  <c r="G20" i="244" s="1"/>
  <c r="L44" i="250"/>
  <c r="B27" i="250"/>
  <c r="B20"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L19" i="247"/>
  <c r="L18" i="247"/>
  <c r="L17" i="247"/>
  <c r="L16" i="247"/>
  <c r="L15" i="247"/>
  <c r="L13" i="247"/>
  <c r="L12" i="247"/>
  <c r="L11" i="247"/>
  <c r="L10" i="247"/>
  <c r="L9" i="247"/>
  <c r="G43" i="246"/>
  <c r="I26" i="243"/>
  <c r="D26" i="243"/>
  <c r="I24" i="243"/>
  <c r="K18" i="243"/>
  <c r="M23" i="243" s="1"/>
  <c r="M25" i="243" s="1"/>
  <c r="M27" i="243" s="1"/>
  <c r="J18" i="243"/>
  <c r="G18" i="243"/>
  <c r="H20" i="358" s="1"/>
  <c r="E18" i="243"/>
  <c r="H41" i="242"/>
  <c r="G41" i="242"/>
  <c r="B31" i="242"/>
  <c r="B29" i="242"/>
  <c r="I28" i="242"/>
  <c r="I30" i="242" s="1"/>
  <c r="K32" i="242" s="1"/>
  <c r="H23" i="242"/>
  <c r="G22" i="242"/>
  <c r="G23" i="242" s="1"/>
  <c r="B22" i="242"/>
  <c r="B17" i="242"/>
  <c r="H12" i="242"/>
  <c r="G11" i="242"/>
  <c r="B11" i="242"/>
  <c r="B7" i="242"/>
  <c r="H41" i="241"/>
  <c r="G41" i="241"/>
  <c r="B31" i="241"/>
  <c r="B29" i="241"/>
  <c r="I28" i="241"/>
  <c r="I30" i="241" s="1"/>
  <c r="K32" i="241" s="1"/>
  <c r="H23" i="241"/>
  <c r="G22" i="241"/>
  <c r="H17" i="358" s="1"/>
  <c r="B22" i="241"/>
  <c r="B17" i="241"/>
  <c r="H12" i="241"/>
  <c r="G11" i="241"/>
  <c r="G12" i="241" s="1"/>
  <c r="B11" i="241"/>
  <c r="B7" i="241"/>
  <c r="N23" i="240"/>
  <c r="G26" i="232" s="1"/>
  <c r="N22" i="240"/>
  <c r="N21" i="240"/>
  <c r="L20" i="240"/>
  <c r="J20" i="240"/>
  <c r="H20" i="240"/>
  <c r="N19" i="240"/>
  <c r="N18" i="240"/>
  <c r="N17" i="240"/>
  <c r="N16" i="240"/>
  <c r="N15" i="240"/>
  <c r="N13" i="240"/>
  <c r="L51" i="239"/>
  <c r="L45" i="239"/>
  <c r="L21" i="239"/>
  <c r="L24" i="239" s="1"/>
  <c r="G20" i="232" s="1"/>
  <c r="L44" i="238"/>
  <c r="B27" i="238"/>
  <c r="B20"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L19" i="235"/>
  <c r="L18" i="235"/>
  <c r="L17" i="235"/>
  <c r="L16" i="235"/>
  <c r="L15" i="235"/>
  <c r="L13" i="235"/>
  <c r="L12" i="235"/>
  <c r="L11" i="235"/>
  <c r="L10" i="235"/>
  <c r="L9" i="235"/>
  <c r="G43" i="234"/>
  <c r="I26" i="231"/>
  <c r="D26" i="231"/>
  <c r="I24" i="231"/>
  <c r="K18" i="231"/>
  <c r="M23" i="231" s="1"/>
  <c r="M25" i="231" s="1"/>
  <c r="M27" i="231" s="1"/>
  <c r="J18" i="231"/>
  <c r="G18" i="231"/>
  <c r="H20" i="356" s="1"/>
  <c r="E18" i="231"/>
  <c r="H41" i="230"/>
  <c r="G41" i="230"/>
  <c r="B31" i="230"/>
  <c r="B29" i="230"/>
  <c r="I28" i="230"/>
  <c r="I30" i="230" s="1"/>
  <c r="K32" i="230" s="1"/>
  <c r="H23" i="230"/>
  <c r="G22" i="230"/>
  <c r="G23" i="230" s="1"/>
  <c r="B22" i="230"/>
  <c r="B17" i="230"/>
  <c r="H12" i="230"/>
  <c r="G11" i="230"/>
  <c r="B11" i="230"/>
  <c r="B7" i="230"/>
  <c r="H41" i="229"/>
  <c r="G41" i="229"/>
  <c r="B31" i="229"/>
  <c r="B29" i="229"/>
  <c r="I28" i="229"/>
  <c r="I30" i="229" s="1"/>
  <c r="K32" i="229" s="1"/>
  <c r="H23" i="229"/>
  <c r="G22" i="229"/>
  <c r="H17" i="356" s="1"/>
  <c r="B22" i="229"/>
  <c r="B17" i="229"/>
  <c r="H12" i="229"/>
  <c r="G11" i="229"/>
  <c r="G12" i="229" s="1"/>
  <c r="B11" i="229"/>
  <c r="B7" i="229"/>
  <c r="N23" i="228"/>
  <c r="G26" i="220" s="1"/>
  <c r="N22" i="228"/>
  <c r="N21" i="228"/>
  <c r="L20" i="228"/>
  <c r="J20" i="228"/>
  <c r="H20" i="228"/>
  <c r="N19" i="228"/>
  <c r="N18" i="228"/>
  <c r="N17" i="228"/>
  <c r="N16" i="228"/>
  <c r="N15" i="228"/>
  <c r="N13" i="228"/>
  <c r="L51" i="227"/>
  <c r="L45" i="227"/>
  <c r="L21" i="227"/>
  <c r="L24" i="227" s="1"/>
  <c r="G20" i="220" s="1"/>
  <c r="L44" i="226"/>
  <c r="B27" i="226"/>
  <c r="B20"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L19" i="223"/>
  <c r="L18" i="223"/>
  <c r="L17" i="223"/>
  <c r="L16" i="223"/>
  <c r="L15" i="223"/>
  <c r="L13" i="223"/>
  <c r="L12" i="223"/>
  <c r="L11" i="223"/>
  <c r="L10" i="223"/>
  <c r="L9" i="223"/>
  <c r="G43" i="222"/>
  <c r="G12" i="276" l="1"/>
  <c r="H39" i="365"/>
  <c r="H43" i="365" s="1"/>
  <c r="G12" i="277"/>
  <c r="H18" i="364"/>
  <c r="G12" i="266"/>
  <c r="H18" i="362"/>
  <c r="G23" i="253"/>
  <c r="H17" i="360"/>
  <c r="G12" i="242"/>
  <c r="H18" i="358"/>
  <c r="G12" i="254"/>
  <c r="H18" i="360"/>
  <c r="G12" i="230"/>
  <c r="H18" i="356"/>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39" i="273" s="1"/>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D27" i="209"/>
  <c r="J5" i="209"/>
  <c r="D27" i="208"/>
  <c r="J5" i="208"/>
  <c r="H39" i="207"/>
  <c r="G39" i="207"/>
  <c r="K27" i="207"/>
  <c r="B27" i="207"/>
  <c r="H24" i="207"/>
  <c r="G23" i="207"/>
  <c r="G24" i="207" s="1"/>
  <c r="K16" i="207"/>
  <c r="B16" i="207"/>
  <c r="B15" i="207"/>
  <c r="B26" i="207" s="1"/>
  <c r="B14" i="207"/>
  <c r="B25" i="207" s="1"/>
  <c r="H13" i="207"/>
  <c r="G12" i="207"/>
  <c r="B3" i="207"/>
  <c r="H39" i="206"/>
  <c r="G39" i="206"/>
  <c r="K27" i="206"/>
  <c r="B27" i="206"/>
  <c r="H24" i="206"/>
  <c r="G23" i="206"/>
  <c r="G24" i="206" s="1"/>
  <c r="K16" i="206"/>
  <c r="B16" i="206"/>
  <c r="B15" i="206"/>
  <c r="B26" i="206" s="1"/>
  <c r="B14" i="206"/>
  <c r="B25" i="206" s="1"/>
  <c r="H13" i="206"/>
  <c r="G12" i="206"/>
  <c r="G13" i="206" s="1"/>
  <c r="B3" i="206"/>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L40" i="262" l="1"/>
  <c r="L45" i="262" s="1"/>
  <c r="L40" i="273"/>
  <c r="L45" i="273" s="1"/>
  <c r="L40" i="250"/>
  <c r="L45" i="250" s="1"/>
  <c r="L40" i="238"/>
  <c r="L45" i="238" s="1"/>
  <c r="J22" i="224"/>
  <c r="L5" i="226"/>
  <c r="I22" i="271"/>
  <c r="J16" i="272"/>
  <c r="I22" i="248"/>
  <c r="J16" i="249"/>
  <c r="I22" i="224"/>
  <c r="J16" i="225"/>
  <c r="I22" i="260"/>
  <c r="J16" i="261"/>
  <c r="J22" i="248"/>
  <c r="L5" i="250"/>
  <c r="J22" i="260"/>
  <c r="L5" i="262"/>
  <c r="I22" i="236"/>
  <c r="J16" i="237"/>
  <c r="J22" i="236"/>
  <c r="L5" i="238"/>
  <c r="J22" i="271"/>
  <c r="L5" i="273"/>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44" i="9"/>
  <c r="H9" i="125" s="1"/>
  <c r="H44" i="125" s="1"/>
  <c r="H9" i="126" s="1"/>
  <c r="H44" i="126" s="1"/>
  <c r="H9" i="127" s="1"/>
  <c r="H44" i="127" s="1"/>
  <c r="H9" i="128" s="1"/>
  <c r="H44" i="128" s="1"/>
  <c r="I28" i="112"/>
  <c r="I28" i="113"/>
  <c r="K27" i="96"/>
  <c r="K16" i="96"/>
  <c r="L25" i="37"/>
  <c r="J25" i="37"/>
  <c r="H25" i="37"/>
  <c r="N24" i="37"/>
  <c r="N23" i="37"/>
  <c r="N22" i="37"/>
  <c r="N21" i="37"/>
  <c r="N20" i="37"/>
  <c r="N19" i="37"/>
  <c r="N17" i="37"/>
  <c r="N14" i="37"/>
  <c r="I17" i="31"/>
  <c r="I6" i="24"/>
  <c r="G41" i="21"/>
  <c r="G20" i="21"/>
  <c r="L59" i="48" l="1"/>
  <c r="N25" i="37"/>
  <c r="I7" i="12"/>
  <c r="G10" i="7" s="1"/>
  <c r="H17" i="9"/>
  <c r="H38" i="8"/>
  <c r="H28" i="8"/>
  <c r="M47" i="122" l="1"/>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H17" i="8" l="1"/>
  <c r="H28" i="1"/>
  <c r="J7" i="34"/>
  <c r="J20" i="34" s="1"/>
  <c r="G24" i="4"/>
  <c r="G23" i="4"/>
  <c r="E18" i="114"/>
  <c r="J24" i="108"/>
  <c r="J39" i="108"/>
  <c r="J20" i="111"/>
  <c r="H20" i="111"/>
  <c r="K23" i="115"/>
  <c r="J23" i="115"/>
  <c r="G23" i="115"/>
  <c r="H38" i="258" s="1"/>
  <c r="E23" i="115"/>
  <c r="F26" i="106"/>
  <c r="G26" i="106"/>
  <c r="H26" i="106"/>
  <c r="I26" i="106"/>
  <c r="J26" i="106"/>
  <c r="L23" i="106"/>
  <c r="L24" i="106"/>
  <c r="L25" i="106"/>
  <c r="L22" i="106"/>
  <c r="L16" i="106"/>
  <c r="L17" i="106"/>
  <c r="L18" i="106"/>
  <c r="L19" i="106"/>
  <c r="L20" i="106"/>
  <c r="L15" i="106"/>
  <c r="L10" i="106"/>
  <c r="L11" i="106"/>
  <c r="L12" i="106"/>
  <c r="L13" i="106"/>
  <c r="L9" i="106"/>
  <c r="H38" i="105" l="1"/>
  <c r="H40" i="105"/>
  <c r="H40" i="258"/>
  <c r="L26" i="106"/>
  <c r="H38" i="246"/>
  <c r="H38" i="222"/>
  <c r="H38" i="234"/>
  <c r="H40" i="234"/>
  <c r="H40" i="246"/>
  <c r="H40" i="222"/>
  <c r="K5" i="36"/>
  <c r="K20" i="29"/>
  <c r="J21" i="29" l="1"/>
  <c r="G13" i="4" s="1"/>
  <c r="I22" i="29"/>
  <c r="H13" i="4" s="1"/>
  <c r="H24" i="1" l="1"/>
  <c r="H23" i="1"/>
  <c r="H22" i="1"/>
  <c r="I50" i="56" l="1"/>
  <c r="B4" i="102"/>
  <c r="C9" i="121"/>
  <c r="C15" i="121"/>
  <c r="C4" i="121"/>
  <c r="E46" i="57"/>
  <c r="G45" i="57"/>
  <c r="H57" i="57"/>
  <c r="B42" i="119"/>
  <c r="B34" i="119"/>
  <c r="B8" i="118"/>
  <c r="B41" i="118"/>
  <c r="B35" i="118"/>
  <c r="B24" i="118"/>
  <c r="K4" i="117"/>
  <c r="E4" i="117"/>
  <c r="I23" i="116"/>
  <c r="I26" i="114"/>
  <c r="I24" i="114"/>
  <c r="D26" i="114"/>
  <c r="B17" i="113"/>
  <c r="B31" i="113"/>
  <c r="B29" i="113"/>
  <c r="B22" i="113"/>
  <c r="B11" i="113"/>
  <c r="B7" i="113"/>
  <c r="B29" i="112"/>
  <c r="B31" i="112"/>
  <c r="B11" i="112"/>
  <c r="B17" i="112"/>
  <c r="B7" i="112"/>
  <c r="B22" i="112"/>
  <c r="G22" i="112"/>
  <c r="H17" i="344" l="1"/>
  <c r="N23" i="111"/>
  <c r="N22" i="111"/>
  <c r="N21" i="111"/>
  <c r="N18" i="111"/>
  <c r="N17" i="111"/>
  <c r="N16" i="111"/>
  <c r="B20" i="109"/>
  <c r="B27" i="109"/>
  <c r="F28" i="45"/>
  <c r="K28" i="45" l="1"/>
  <c r="K9" i="46" s="1"/>
  <c r="J17" i="27"/>
  <c r="C18"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I37" i="24"/>
  <c r="J7" i="27" l="1"/>
  <c r="H11" i="24"/>
  <c r="I19" i="22"/>
  <c r="I20" i="22" s="1"/>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K18" i="114"/>
  <c r="M23" i="114" s="1"/>
  <c r="M25" i="114" s="1"/>
  <c r="M27" i="114" s="1"/>
  <c r="G18" i="114"/>
  <c r="J18" i="114"/>
  <c r="G12" i="113"/>
  <c r="H12" i="113"/>
  <c r="G22" i="113"/>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L9" i="319" l="1"/>
  <c r="L27" i="319" s="1"/>
  <c r="L9" i="320" s="1"/>
  <c r="L27" i="320" s="1"/>
  <c r="L9" i="321" s="1"/>
  <c r="L27" i="321" s="1"/>
  <c r="L9" i="322" s="1"/>
  <c r="H23" i="358"/>
  <c r="G23" i="113"/>
  <c r="H18" i="344"/>
  <c r="H20" i="344"/>
  <c r="H19" i="344"/>
  <c r="I25" i="118"/>
  <c r="H41" i="344"/>
  <c r="K9" i="320"/>
  <c r="K27" i="320" s="1"/>
  <c r="G12" i="112"/>
  <c r="H39" i="258"/>
  <c r="H43" i="258" s="1"/>
  <c r="L38" i="109"/>
  <c r="K23" i="109"/>
  <c r="H39" i="234"/>
  <c r="H43" i="234" s="1"/>
  <c r="H39" i="246"/>
  <c r="H43" i="246" s="1"/>
  <c r="H39" i="222"/>
  <c r="H43" i="222" s="1"/>
  <c r="H39" i="105"/>
  <c r="H43" i="105" s="1"/>
  <c r="L55" i="48"/>
  <c r="H26" i="1"/>
  <c r="G20" i="103"/>
  <c r="H40" i="103" s="1"/>
  <c r="I20" i="107"/>
  <c r="F5" i="124"/>
  <c r="F43" i="124" s="1"/>
  <c r="F5" i="132" s="1"/>
  <c r="F43" i="132" s="1"/>
  <c r="L54" i="110"/>
  <c r="K32" i="108"/>
  <c r="J40" i="107"/>
  <c r="J7" i="107"/>
  <c r="J20" i="107" s="1"/>
  <c r="L42" i="117"/>
  <c r="L42" i="319" l="1"/>
  <c r="L42" i="320"/>
  <c r="K9" i="321"/>
  <c r="K27" i="321" s="1"/>
  <c r="G44" i="256"/>
  <c r="G44" i="268"/>
  <c r="J16" i="108"/>
  <c r="L40" i="109"/>
  <c r="L45" i="109" s="1"/>
  <c r="J22" i="107"/>
  <c r="I22" i="107"/>
  <c r="L6" i="109"/>
  <c r="G21" i="103"/>
  <c r="G44" i="103" s="1"/>
  <c r="G44" i="232"/>
  <c r="G44" i="244"/>
  <c r="G44" i="220"/>
  <c r="L20" i="111"/>
  <c r="N19" i="111"/>
  <c r="N20" i="111" s="1"/>
  <c r="L42" i="321" l="1"/>
  <c r="K9" i="322"/>
  <c r="L5" i="109"/>
  <c r="Q8" i="2"/>
  <c r="U10" i="2"/>
  <c r="U9" i="2"/>
  <c r="D34" i="2"/>
  <c r="D42" i="2"/>
  <c r="D43" i="2"/>
  <c r="L26" i="10"/>
  <c r="B2" i="250" l="1"/>
  <c r="B46" i="272"/>
  <c r="B2" i="262"/>
  <c r="B2" i="238"/>
  <c r="C8" i="261"/>
  <c r="B46" i="261"/>
  <c r="C8" i="249"/>
  <c r="B2" i="273"/>
  <c r="B46" i="249"/>
  <c r="C8" i="237"/>
  <c r="B46" i="237"/>
  <c r="C8" i="272"/>
  <c r="B2" i="236"/>
  <c r="B2" i="271"/>
  <c r="B2" i="260"/>
  <c r="B2" i="248"/>
  <c r="H44" i="360"/>
  <c r="H44" i="362"/>
  <c r="H44" i="356"/>
  <c r="H44" i="358"/>
  <c r="B46" i="225"/>
  <c r="C8" i="108"/>
  <c r="B46" i="108"/>
  <c r="B2" i="226"/>
  <c r="C8" i="225"/>
  <c r="B2" i="224"/>
  <c r="B2" i="109"/>
  <c r="B2" i="107"/>
  <c r="G4" i="197"/>
  <c r="G4" i="19"/>
  <c r="G4" i="199"/>
  <c r="G4" i="198"/>
  <c r="B41" i="283"/>
  <c r="B5" i="283"/>
  <c r="B36" i="282"/>
  <c r="G6" i="342"/>
  <c r="B45" i="297"/>
  <c r="B45" i="298"/>
  <c r="B45" i="299"/>
  <c r="B45" i="300"/>
  <c r="B45" i="282"/>
  <c r="G6" i="343"/>
  <c r="G6" i="281"/>
  <c r="H5" i="280"/>
  <c r="H5" i="289"/>
  <c r="H5" i="290"/>
  <c r="H5" i="291"/>
  <c r="H5" i="292"/>
  <c r="B31" i="283"/>
  <c r="G6" i="340"/>
  <c r="C26" i="279"/>
  <c r="B37" i="297"/>
  <c r="B9" i="297"/>
  <c r="C26" i="284"/>
  <c r="B37" i="298"/>
  <c r="B9" i="298"/>
  <c r="C26" i="285"/>
  <c r="B37" i="299"/>
  <c r="B9" i="299"/>
  <c r="C26" i="286"/>
  <c r="B37" i="300"/>
  <c r="B9" i="300"/>
  <c r="C26" i="287"/>
  <c r="J10" i="283"/>
  <c r="B37" i="282"/>
  <c r="B9" i="282"/>
  <c r="G6" i="341"/>
  <c r="B36" i="297"/>
  <c r="B36" i="298"/>
  <c r="B36" i="299"/>
  <c r="B36" i="300"/>
  <c r="G6" i="338"/>
  <c r="G6" i="339"/>
  <c r="G6" i="336"/>
  <c r="G6" i="337"/>
  <c r="G6" i="333"/>
  <c r="G6" i="335"/>
  <c r="G6" i="331"/>
  <c r="G6" i="332"/>
  <c r="G6" i="329"/>
  <c r="G6" i="330"/>
  <c r="G6" i="327"/>
  <c r="G6" i="328"/>
  <c r="G6" i="325"/>
  <c r="G6" i="326"/>
  <c r="G6" i="323"/>
  <c r="G6" i="324"/>
  <c r="H44" i="104"/>
  <c r="H12" i="344" s="1"/>
  <c r="G6" i="321"/>
  <c r="G6" i="322"/>
  <c r="G6" i="319"/>
  <c r="G6" i="320"/>
  <c r="B32" i="317"/>
  <c r="B14" i="317"/>
  <c r="G36" i="317"/>
  <c r="B25" i="317"/>
  <c r="J6" i="317"/>
  <c r="B35" i="317"/>
  <c r="B3" i="317"/>
  <c r="B28" i="317"/>
  <c r="B13" i="317"/>
  <c r="B24" i="317"/>
  <c r="B32" i="315"/>
  <c r="B14" i="315"/>
  <c r="B28" i="315"/>
  <c r="B13" i="315"/>
  <c r="G36" i="315"/>
  <c r="B25" i="315"/>
  <c r="J6" i="315"/>
  <c r="B35" i="315"/>
  <c r="B24" i="315"/>
  <c r="B3" i="315"/>
  <c r="B32" i="313"/>
  <c r="B14" i="313"/>
  <c r="G36" i="313"/>
  <c r="B25" i="313"/>
  <c r="J6" i="313"/>
  <c r="B35" i="313"/>
  <c r="B24" i="313"/>
  <c r="B3" i="313"/>
  <c r="B28" i="313"/>
  <c r="B13" i="313"/>
  <c r="B32" i="311"/>
  <c r="B14" i="311"/>
  <c r="B28" i="311"/>
  <c r="B13" i="311"/>
  <c r="G36" i="311"/>
  <c r="B25" i="311"/>
  <c r="J6" i="311"/>
  <c r="B35" i="311"/>
  <c r="B24" i="311"/>
  <c r="B3" i="311"/>
  <c r="B32" i="307"/>
  <c r="B14" i="307"/>
  <c r="J6" i="307"/>
  <c r="B35" i="307"/>
  <c r="B24" i="307"/>
  <c r="B3" i="307"/>
  <c r="B28" i="307"/>
  <c r="B13" i="307"/>
  <c r="G36" i="307"/>
  <c r="B25" i="307"/>
  <c r="B32" i="306"/>
  <c r="B14" i="306"/>
  <c r="B28" i="306"/>
  <c r="B13" i="306"/>
  <c r="G36" i="306"/>
  <c r="B25" i="306"/>
  <c r="J6" i="306"/>
  <c r="B24" i="306"/>
  <c r="B3" i="306"/>
  <c r="B35" i="306"/>
  <c r="B41" i="304"/>
  <c r="J10" i="304"/>
  <c r="B31" i="304"/>
  <c r="B5" i="304"/>
  <c r="B41" i="303"/>
  <c r="B31" i="303"/>
  <c r="B5" i="303"/>
  <c r="J10" i="303"/>
  <c r="J10" i="302"/>
  <c r="B41" i="302"/>
  <c r="B31" i="302"/>
  <c r="B5" i="302"/>
  <c r="B31" i="301"/>
  <c r="B5" i="301"/>
  <c r="J10" i="301"/>
  <c r="B41" i="301"/>
  <c r="G6" i="295"/>
  <c r="G6" i="296"/>
  <c r="G6" i="293"/>
  <c r="G6" i="294"/>
  <c r="I27" i="278"/>
  <c r="D27" i="278"/>
  <c r="I23" i="278"/>
  <c r="B3" i="277"/>
  <c r="B13" i="277"/>
  <c r="G36" i="277"/>
  <c r="B28" i="277"/>
  <c r="B24" i="277"/>
  <c r="B35" i="277"/>
  <c r="B25" i="277"/>
  <c r="B14" i="277"/>
  <c r="J6" i="277"/>
  <c r="B32" i="277"/>
  <c r="B24" i="276"/>
  <c r="B14" i="276"/>
  <c r="J6" i="276"/>
  <c r="B13" i="276"/>
  <c r="B3" i="276"/>
  <c r="G36" i="276"/>
  <c r="B35" i="276"/>
  <c r="B28" i="276"/>
  <c r="B32" i="276"/>
  <c r="B25" i="276"/>
  <c r="N44" i="275"/>
  <c r="L11" i="275"/>
  <c r="J10" i="275"/>
  <c r="B54" i="274"/>
  <c r="B24" i="274"/>
  <c r="B45" i="273"/>
  <c r="B24" i="273"/>
  <c r="B23" i="273"/>
  <c r="B32" i="273"/>
  <c r="B22" i="273"/>
  <c r="E40" i="272"/>
  <c r="E49" i="272"/>
  <c r="E35" i="272"/>
  <c r="B3" i="272"/>
  <c r="B45" i="272"/>
  <c r="D27" i="267"/>
  <c r="I23" i="267"/>
  <c r="I27" i="267"/>
  <c r="B24" i="266"/>
  <c r="B32" i="266"/>
  <c r="G36" i="266"/>
  <c r="B28" i="266"/>
  <c r="B13" i="266"/>
  <c r="B35" i="266"/>
  <c r="B25" i="266"/>
  <c r="B14" i="266"/>
  <c r="J6" i="266"/>
  <c r="B3" i="266"/>
  <c r="B24" i="265"/>
  <c r="B13" i="265"/>
  <c r="G36" i="265"/>
  <c r="B28" i="265"/>
  <c r="B35" i="265"/>
  <c r="B25" i="265"/>
  <c r="B14" i="265"/>
  <c r="B32" i="265"/>
  <c r="B3" i="265"/>
  <c r="J6" i="265"/>
  <c r="N44" i="264"/>
  <c r="J10" i="264"/>
  <c r="L11" i="264"/>
  <c r="B54" i="263"/>
  <c r="B24" i="263"/>
  <c r="B45" i="262"/>
  <c r="B22" i="262"/>
  <c r="B24" i="262"/>
  <c r="B23" i="262"/>
  <c r="B32" i="262"/>
  <c r="E40" i="261"/>
  <c r="B45" i="261"/>
  <c r="E49" i="261"/>
  <c r="E35" i="261"/>
  <c r="B3" i="261"/>
  <c r="I27" i="255"/>
  <c r="D27" i="255"/>
  <c r="I23" i="255"/>
  <c r="B3" i="254"/>
  <c r="B13" i="254"/>
  <c r="G36" i="254"/>
  <c r="B28" i="254"/>
  <c r="B24" i="254"/>
  <c r="B35" i="254"/>
  <c r="B25" i="254"/>
  <c r="B14" i="254"/>
  <c r="J6" i="254"/>
  <c r="B32" i="254"/>
  <c r="B24" i="253"/>
  <c r="B32" i="253"/>
  <c r="G36" i="253"/>
  <c r="B28" i="253"/>
  <c r="B3" i="253"/>
  <c r="B35" i="253"/>
  <c r="B25" i="253"/>
  <c r="B14" i="253"/>
  <c r="J6" i="253"/>
  <c r="B13" i="253"/>
  <c r="N44" i="252"/>
  <c r="L11" i="252"/>
  <c r="J10" i="252"/>
  <c r="D41" i="2"/>
  <c r="B54" i="251"/>
  <c r="B32" i="250"/>
  <c r="B3" i="249"/>
  <c r="D27" i="243"/>
  <c r="L11" i="240"/>
  <c r="E40" i="237"/>
  <c r="B35" i="230"/>
  <c r="B25" i="230"/>
  <c r="B14" i="230"/>
  <c r="J6" i="230"/>
  <c r="B32" i="229"/>
  <c r="B24" i="229"/>
  <c r="B13" i="229"/>
  <c r="B3" i="229"/>
  <c r="B54" i="227"/>
  <c r="B32" i="226"/>
  <c r="B3" i="225"/>
  <c r="E49" i="249"/>
  <c r="I23" i="243"/>
  <c r="N44" i="240"/>
  <c r="J10" i="228"/>
  <c r="B45" i="250"/>
  <c r="B45" i="249"/>
  <c r="G36" i="242"/>
  <c r="B28" i="242"/>
  <c r="G36" i="241"/>
  <c r="B28" i="241"/>
  <c r="J10" i="240"/>
  <c r="B24" i="239"/>
  <c r="B23" i="238"/>
  <c r="E49" i="237"/>
  <c r="B32" i="230"/>
  <c r="B24" i="230"/>
  <c r="B13" i="230"/>
  <c r="B3" i="230"/>
  <c r="N44" i="228"/>
  <c r="B45" i="226"/>
  <c r="B45" i="225"/>
  <c r="B3" i="242"/>
  <c r="B45" i="238"/>
  <c r="B45" i="237"/>
  <c r="B28" i="229"/>
  <c r="E49" i="225"/>
  <c r="B24" i="250"/>
  <c r="B35" i="242"/>
  <c r="B25" i="242"/>
  <c r="B35" i="241"/>
  <c r="B25" i="241"/>
  <c r="B14" i="241"/>
  <c r="J6" i="241"/>
  <c r="B22" i="238"/>
  <c r="E35" i="237"/>
  <c r="I23" i="231"/>
  <c r="B24" i="226"/>
  <c r="G36" i="229"/>
  <c r="B24" i="227"/>
  <c r="E40" i="249"/>
  <c r="B32" i="242"/>
  <c r="B24" i="242"/>
  <c r="B14" i="242"/>
  <c r="J6" i="242"/>
  <c r="B32" i="241"/>
  <c r="B24" i="241"/>
  <c r="B13" i="241"/>
  <c r="B3" i="241"/>
  <c r="B54" i="239"/>
  <c r="B32" i="238"/>
  <c r="B3" i="237"/>
  <c r="I27" i="231"/>
  <c r="L11" i="228"/>
  <c r="E40" i="225"/>
  <c r="B23" i="250"/>
  <c r="B13" i="242"/>
  <c r="B23" i="226"/>
  <c r="B22" i="250"/>
  <c r="E35" i="249"/>
  <c r="I27" i="243"/>
  <c r="B24" i="238"/>
  <c r="G36" i="230"/>
  <c r="B28" i="230"/>
  <c r="B35" i="229"/>
  <c r="B25" i="229"/>
  <c r="B14" i="229"/>
  <c r="J6" i="229"/>
  <c r="B22" i="226"/>
  <c r="E35" i="225"/>
  <c r="B24" i="251"/>
  <c r="D27" i="231"/>
  <c r="G6" i="215"/>
  <c r="G6" i="211"/>
  <c r="G6" i="210"/>
  <c r="G6" i="216"/>
  <c r="B29" i="207"/>
  <c r="G6" i="217"/>
  <c r="G6" i="212"/>
  <c r="G4" i="196"/>
  <c r="G4" i="194"/>
  <c r="G6" i="218"/>
  <c r="G4" i="192"/>
  <c r="G6" i="213"/>
  <c r="G4" i="189"/>
  <c r="G4" i="186"/>
  <c r="G4" i="181"/>
  <c r="G4" i="176"/>
  <c r="G4" i="174"/>
  <c r="G4" i="170"/>
  <c r="G4" i="165"/>
  <c r="G4" i="159"/>
  <c r="G4" i="190"/>
  <c r="G4" i="187"/>
  <c r="G4" i="182"/>
  <c r="G4" i="177"/>
  <c r="G4" i="171"/>
  <c r="G4" i="166"/>
  <c r="G4" i="160"/>
  <c r="G6" i="214"/>
  <c r="G4" i="183"/>
  <c r="G4" i="178"/>
  <c r="G4" i="172"/>
  <c r="G4" i="161"/>
  <c r="B29" i="206"/>
  <c r="G4" i="193"/>
  <c r="G4" i="191"/>
  <c r="G4" i="184"/>
  <c r="G4" i="175"/>
  <c r="G4" i="173"/>
  <c r="G4" i="167"/>
  <c r="G4" i="162"/>
  <c r="G4" i="188"/>
  <c r="G4" i="185"/>
  <c r="G4" i="179"/>
  <c r="G4" i="168"/>
  <c r="G4" i="163"/>
  <c r="G4" i="195"/>
  <c r="G4" i="180"/>
  <c r="G4" i="169"/>
  <c r="G4" i="164"/>
  <c r="G4" i="158"/>
  <c r="G4" i="156"/>
  <c r="G4" i="154"/>
  <c r="G4" i="152"/>
  <c r="G4" i="150"/>
  <c r="G4" i="148"/>
  <c r="G4" i="146"/>
  <c r="G4" i="157"/>
  <c r="G4" i="155"/>
  <c r="G4" i="153"/>
  <c r="G4" i="151"/>
  <c r="G4" i="149"/>
  <c r="G4" i="147"/>
  <c r="G4" i="144"/>
  <c r="G4" i="142"/>
  <c r="G4" i="140"/>
  <c r="G4" i="138"/>
  <c r="G4" i="136"/>
  <c r="G4" i="134"/>
  <c r="G4" i="145"/>
  <c r="G4" i="143"/>
  <c r="G4" i="141"/>
  <c r="G4" i="139"/>
  <c r="G4" i="137"/>
  <c r="G4" i="135"/>
  <c r="G4" i="133"/>
  <c r="B41" i="119"/>
  <c r="C26" i="115"/>
  <c r="J10" i="119"/>
  <c r="B36" i="118"/>
  <c r="B35" i="113"/>
  <c r="B5" i="119"/>
  <c r="H5" i="116"/>
  <c r="D27" i="114"/>
  <c r="G36" i="113"/>
  <c r="B32" i="113"/>
  <c r="G36" i="112"/>
  <c r="B24" i="112"/>
  <c r="N44" i="111"/>
  <c r="I27" i="114"/>
  <c r="J6" i="113"/>
  <c r="B24" i="113"/>
  <c r="B35" i="112"/>
  <c r="B28" i="112"/>
  <c r="L11" i="111"/>
  <c r="B9" i="118"/>
  <c r="B31" i="119"/>
  <c r="B25" i="113"/>
  <c r="B45" i="118"/>
  <c r="I23" i="114"/>
  <c r="B13" i="113"/>
  <c r="B13" i="112"/>
  <c r="B25" i="112"/>
  <c r="B28" i="113"/>
  <c r="B14" i="112"/>
  <c r="J6" i="112"/>
  <c r="J10" i="111"/>
  <c r="B37" i="118"/>
  <c r="G6" i="117"/>
  <c r="B3" i="113"/>
  <c r="B3" i="112"/>
  <c r="B14" i="113"/>
  <c r="B32" i="112"/>
  <c r="B54" i="110"/>
  <c r="B24" i="109"/>
  <c r="E49" i="108"/>
  <c r="B45" i="109"/>
  <c r="B24" i="110"/>
  <c r="B23" i="109"/>
  <c r="B45" i="108"/>
  <c r="B3" i="108"/>
  <c r="B22" i="109"/>
  <c r="B32" i="109"/>
  <c r="E35" i="108"/>
  <c r="E40" i="108"/>
  <c r="Q9" i="2"/>
  <c r="D49" i="2"/>
  <c r="B6" i="58" s="1"/>
  <c r="D44" i="2"/>
  <c r="D47" i="2"/>
  <c r="D46" i="2"/>
  <c r="D35" i="2"/>
  <c r="C13" i="29" s="1"/>
  <c r="C38" i="2"/>
  <c r="I34" i="12"/>
  <c r="I33" i="12"/>
  <c r="I32" i="12"/>
  <c r="I31" i="12"/>
  <c r="I26" i="12"/>
  <c r="I25" i="12"/>
  <c r="I24" i="12"/>
  <c r="I23" i="12"/>
  <c r="I22" i="12"/>
  <c r="I21" i="12"/>
  <c r="I20" i="12"/>
  <c r="I19" i="12"/>
  <c r="I18" i="12"/>
  <c r="I17" i="12"/>
  <c r="I16" i="12"/>
  <c r="I15" i="12"/>
  <c r="G12" i="11" s="1"/>
  <c r="I14" i="12"/>
  <c r="G22" i="8" s="1"/>
  <c r="I13" i="12"/>
  <c r="G20" i="9" s="1"/>
  <c r="G44" i="9" s="1"/>
  <c r="G9" i="125" s="1"/>
  <c r="G44" i="125" s="1"/>
  <c r="G9" i="126" s="1"/>
  <c r="G44" i="126" s="1"/>
  <c r="G9" i="127" s="1"/>
  <c r="G44" i="127" s="1"/>
  <c r="G9" i="128" s="1"/>
  <c r="G44" i="128" s="1"/>
  <c r="I55" i="128" s="1"/>
  <c r="I12" i="12"/>
  <c r="G11" i="9" s="1"/>
  <c r="G17"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9" i="365" l="1"/>
  <c r="B6" i="367"/>
  <c r="B7" i="364"/>
  <c r="B7" i="363"/>
  <c r="B7" i="362"/>
  <c r="B7" i="361"/>
  <c r="B7" i="360"/>
  <c r="B7" i="359"/>
  <c r="B7" i="358"/>
  <c r="B7" i="357"/>
  <c r="B7" i="356"/>
  <c r="B7" i="355"/>
  <c r="B7" i="344"/>
  <c r="G7" i="280"/>
  <c r="G7" i="289"/>
  <c r="G7" i="290"/>
  <c r="G7" i="291"/>
  <c r="G8" i="279"/>
  <c r="G8" i="284"/>
  <c r="G8" i="285"/>
  <c r="G8" i="286"/>
  <c r="G8" i="287"/>
  <c r="G7" i="292"/>
  <c r="B6" i="305"/>
  <c r="C18" i="272"/>
  <c r="C18" i="237"/>
  <c r="C18" i="108"/>
  <c r="C18" i="261"/>
  <c r="C18" i="225"/>
  <c r="C18" i="249"/>
  <c r="N11" i="275"/>
  <c r="G8" i="278"/>
  <c r="B8" i="273"/>
  <c r="B6" i="274"/>
  <c r="B36" i="274"/>
  <c r="B48" i="272"/>
  <c r="B44" i="272"/>
  <c r="G8" i="267"/>
  <c r="L6" i="270"/>
  <c r="B9" i="258"/>
  <c r="B7" i="268"/>
  <c r="L6" i="259"/>
  <c r="N11" i="264"/>
  <c r="B8" i="262"/>
  <c r="B6" i="263"/>
  <c r="B36" i="263"/>
  <c r="B48" i="261"/>
  <c r="B44" i="261"/>
  <c r="B7" i="256"/>
  <c r="N11" i="252"/>
  <c r="G8" i="255"/>
  <c r="F6" i="198"/>
  <c r="F6" i="194"/>
  <c r="F6" i="199"/>
  <c r="F6" i="192"/>
  <c r="F6" i="195"/>
  <c r="F6" i="190"/>
  <c r="F6" i="187"/>
  <c r="F6" i="182"/>
  <c r="F6" i="177"/>
  <c r="F6" i="171"/>
  <c r="F6" i="166"/>
  <c r="F6" i="160"/>
  <c r="F6" i="183"/>
  <c r="F6" i="178"/>
  <c r="F6" i="172"/>
  <c r="F6" i="161"/>
  <c r="F6" i="193"/>
  <c r="F6" i="191"/>
  <c r="F6" i="184"/>
  <c r="F6" i="175"/>
  <c r="F6" i="173"/>
  <c r="F6" i="167"/>
  <c r="F6" i="162"/>
  <c r="F6" i="196"/>
  <c r="F6" i="188"/>
  <c r="F6" i="185"/>
  <c r="F6" i="179"/>
  <c r="F6" i="168"/>
  <c r="F6" i="163"/>
  <c r="F6" i="180"/>
  <c r="F6" i="169"/>
  <c r="F6" i="164"/>
  <c r="F6" i="158"/>
  <c r="F6" i="197"/>
  <c r="F6" i="189"/>
  <c r="F6" i="186"/>
  <c r="F6" i="181"/>
  <c r="F6" i="176"/>
  <c r="F6" i="174"/>
  <c r="F6" i="170"/>
  <c r="F6" i="165"/>
  <c r="F6" i="159"/>
  <c r="F6" i="157"/>
  <c r="L6" i="235"/>
  <c r="L6" i="247"/>
  <c r="G8" i="231"/>
  <c r="L6" i="223"/>
  <c r="N11" i="228"/>
  <c r="G8" i="243"/>
  <c r="N11" i="240"/>
  <c r="K6" i="199"/>
  <c r="L6" i="192"/>
  <c r="G8" i="208"/>
  <c r="L6" i="195"/>
  <c r="L6" i="193"/>
  <c r="L6" i="183"/>
  <c r="L6" i="178"/>
  <c r="L6" i="172"/>
  <c r="L6" i="161"/>
  <c r="L6" i="194"/>
  <c r="L6" i="191"/>
  <c r="L6" i="184"/>
  <c r="L6" i="175"/>
  <c r="L6" i="173"/>
  <c r="L6" i="167"/>
  <c r="L6" i="162"/>
  <c r="K6" i="198"/>
  <c r="L6" i="196"/>
  <c r="L6" i="188"/>
  <c r="L6" i="185"/>
  <c r="L6" i="179"/>
  <c r="L6" i="168"/>
  <c r="L6" i="163"/>
  <c r="L6" i="180"/>
  <c r="L6" i="169"/>
  <c r="L6" i="164"/>
  <c r="L6" i="158"/>
  <c r="G8" i="209"/>
  <c r="K6" i="197"/>
  <c r="L6" i="189"/>
  <c r="L6" i="186"/>
  <c r="L6" i="181"/>
  <c r="L6" i="176"/>
  <c r="L6" i="174"/>
  <c r="L6" i="170"/>
  <c r="L6" i="165"/>
  <c r="L6" i="159"/>
  <c r="L6" i="190"/>
  <c r="L6" i="187"/>
  <c r="L6" i="182"/>
  <c r="L6" i="177"/>
  <c r="L6" i="171"/>
  <c r="L6" i="166"/>
  <c r="L6" i="160"/>
  <c r="L6" i="157"/>
  <c r="M8" i="131"/>
  <c r="M8" i="129"/>
  <c r="M8" i="130"/>
  <c r="M8" i="122"/>
  <c r="G8" i="115"/>
  <c r="G7" i="116"/>
  <c r="G8" i="114"/>
  <c r="N11" i="111"/>
  <c r="L6" i="106"/>
  <c r="H22" i="56"/>
  <c r="B7" i="220"/>
  <c r="B9" i="246"/>
  <c r="B9" i="222"/>
  <c r="B9" i="234"/>
  <c r="B7" i="232"/>
  <c r="B7" i="244"/>
  <c r="B6" i="128"/>
  <c r="B6" i="125"/>
  <c r="B6" i="126"/>
  <c r="B6" i="127"/>
  <c r="B7" i="104"/>
  <c r="B9" i="105"/>
  <c r="B7" i="103"/>
  <c r="Q10" i="2"/>
  <c r="B6" i="251"/>
  <c r="B36" i="239"/>
  <c r="B6" i="227"/>
  <c r="B8" i="238"/>
  <c r="B44" i="249"/>
  <c r="B48" i="237"/>
  <c r="B44" i="225"/>
  <c r="B8" i="250"/>
  <c r="B8" i="226"/>
  <c r="B36" i="251"/>
  <c r="B6" i="239"/>
  <c r="B36" i="227"/>
  <c r="B48" i="249"/>
  <c r="B44" i="237"/>
  <c r="B48" i="225"/>
  <c r="B48" i="108"/>
  <c r="B44" i="108"/>
  <c r="B36" i="110"/>
  <c r="B8" i="109"/>
  <c r="B6" i="110"/>
  <c r="D45" i="2"/>
  <c r="H9" i="275" s="1"/>
  <c r="D48" i="2"/>
  <c r="H9" i="264" l="1"/>
  <c r="E6" i="270"/>
  <c r="H9" i="252"/>
  <c r="E6" i="259"/>
  <c r="E6" i="223"/>
  <c r="E6" i="247"/>
  <c r="H9" i="240"/>
  <c r="E6" i="235"/>
  <c r="H9" i="228"/>
  <c r="G6" i="130"/>
  <c r="G6" i="129"/>
  <c r="G6" i="131"/>
  <c r="G6" i="122"/>
  <c r="H9" i="111"/>
  <c r="E6" i="106"/>
  <c r="Q11" i="2"/>
  <c r="M10" i="97"/>
  <c r="Q12" i="2" l="1"/>
  <c r="M22" i="36"/>
  <c r="I15" i="24" s="1"/>
  <c r="Q13" i="2" l="1"/>
  <c r="M20" i="97"/>
  <c r="M21" i="97"/>
  <c r="M22" i="97"/>
  <c r="M23" i="97"/>
  <c r="M24" i="97"/>
  <c r="M25" i="97"/>
  <c r="M15" i="97"/>
  <c r="Q14" i="2" l="1"/>
  <c r="M19" i="97"/>
  <c r="Q15" i="2" l="1"/>
  <c r="M17" i="97"/>
  <c r="M18" i="97"/>
  <c r="M16" i="97"/>
  <c r="Q16" i="2" l="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I12" i="28"/>
  <c r="J12" i="28" s="1"/>
  <c r="J11" i="28"/>
  <c r="D39" i="2" l="1"/>
  <c r="D37" i="2"/>
  <c r="D14" i="2"/>
  <c r="D12" i="2"/>
  <c r="D9" i="2"/>
  <c r="H43" i="54" s="1"/>
  <c r="D11" i="2"/>
  <c r="D10" i="2"/>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L27" i="192" l="1"/>
  <c r="L8" i="193" s="1"/>
  <c r="L27" i="193" s="1"/>
  <c r="L8" i="194" s="1"/>
  <c r="L27" i="194" s="1"/>
  <c r="L8" i="195" s="1"/>
  <c r="L27" i="195" s="1"/>
  <c r="L8" i="196" s="1"/>
  <c r="L27" i="196" s="1"/>
  <c r="H33" i="7" s="1"/>
  <c r="D45" i="91"/>
  <c r="B43" i="12"/>
  <c r="B41" i="12"/>
  <c r="I31" i="24"/>
  <c r="H59" i="54" l="1"/>
  <c r="B30" i="40" l="1"/>
  <c r="D86" i="91" l="1"/>
  <c r="D75" i="91"/>
  <c r="D65" i="91"/>
  <c r="D41" i="91"/>
  <c r="B3" i="91"/>
  <c r="C42" i="47"/>
  <c r="L52" i="48"/>
  <c r="H52" i="48"/>
  <c r="D47" i="48"/>
  <c r="D42" i="48"/>
  <c r="D45" i="48"/>
  <c r="D40" i="48"/>
  <c r="C33" i="48"/>
  <c r="E25" i="48"/>
  <c r="D20" i="48"/>
  <c r="D13" i="48"/>
  <c r="D12" i="48"/>
  <c r="B17" i="58"/>
  <c r="B16" i="58"/>
  <c r="B9" i="58"/>
  <c r="B27" i="51"/>
  <c r="J32" i="51"/>
  <c r="C19" i="51"/>
  <c r="B10" i="51"/>
  <c r="B9" i="51"/>
  <c r="B15" i="51"/>
  <c r="B8" i="51"/>
  <c r="B37" i="50"/>
  <c r="B9" i="50"/>
  <c r="B31" i="50"/>
  <c r="B8" i="50"/>
  <c r="G6" i="46"/>
  <c r="G6" i="45"/>
  <c r="K4" i="45"/>
  <c r="E4" i="45"/>
  <c r="G7" i="98"/>
  <c r="C25" i="44"/>
  <c r="G8" i="44"/>
  <c r="D27" i="43"/>
  <c r="G8" i="43"/>
  <c r="J5" i="43"/>
  <c r="J5" i="44" s="1"/>
  <c r="B3" i="42"/>
  <c r="K37" i="42"/>
  <c r="I38" i="42"/>
  <c r="B36" i="42"/>
  <c r="B28" i="42"/>
  <c r="G29" i="42"/>
  <c r="B25" i="42"/>
  <c r="B24" i="42"/>
  <c r="B14" i="42"/>
  <c r="B13" i="42"/>
  <c r="B11" i="42"/>
  <c r="B22" i="42" s="1"/>
  <c r="B7" i="42"/>
  <c r="B17" i="42" s="1"/>
  <c r="B29" i="96"/>
  <c r="B15" i="96"/>
  <c r="B26" i="96" s="1"/>
  <c r="B14" i="96"/>
  <c r="B25" i="96" s="1"/>
  <c r="J6" i="38"/>
  <c r="B3" i="96"/>
  <c r="B3" i="38"/>
  <c r="G30" i="38"/>
  <c r="B29" i="38"/>
  <c r="B25" i="38"/>
  <c r="B15" i="38"/>
  <c r="B14" i="38"/>
  <c r="B12" i="38"/>
  <c r="B7" i="38"/>
  <c r="B12" i="96" l="1"/>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30" i="41" l="1"/>
  <c r="J8" i="40"/>
  <c r="J8" i="41" s="1"/>
  <c r="J7" i="40"/>
  <c r="J7" i="41" s="1"/>
  <c r="L8" i="40"/>
  <c r="L8" i="41" s="1"/>
  <c r="I8" i="40"/>
  <c r="I8" i="41" s="1"/>
  <c r="N46" i="37"/>
  <c r="L12" i="37"/>
  <c r="J11" i="37"/>
  <c r="N12" i="37"/>
  <c r="H10" i="37"/>
  <c r="B45" i="39"/>
  <c r="B43" i="39"/>
  <c r="C27" i="39"/>
  <c r="C37" i="39" s="1"/>
  <c r="C7" i="39"/>
  <c r="C20" i="39"/>
  <c r="C30" i="39" s="1"/>
  <c r="C40" i="39" s="1"/>
  <c r="C6" i="39"/>
  <c r="C26" i="39" s="1"/>
  <c r="C36" i="39" s="1"/>
  <c r="C27" i="36"/>
  <c r="C26" i="36"/>
  <c r="C25" i="36"/>
  <c r="C28" i="36"/>
  <c r="C5" i="36"/>
  <c r="B21" i="34" l="1"/>
  <c r="B10" i="34"/>
  <c r="B17" i="34"/>
  <c r="B7" i="34"/>
  <c r="B30" i="29"/>
  <c r="C20" i="29"/>
  <c r="C7" i="29"/>
  <c r="B6" i="35"/>
  <c r="B19" i="35"/>
  <c r="B40" i="35" s="1"/>
  <c r="B60" i="30"/>
  <c r="C37" i="30"/>
  <c r="C35" i="30"/>
  <c r="C29" i="30"/>
  <c r="F26" i="30"/>
  <c r="C25" i="30"/>
  <c r="C19" i="30"/>
  <c r="C17" i="30"/>
  <c r="B3" i="30"/>
  <c r="B41" i="26"/>
  <c r="B19" i="26"/>
  <c r="C11" i="26"/>
  <c r="C10" i="26"/>
  <c r="C9" i="26"/>
  <c r="C14" i="26"/>
  <c r="C7" i="26"/>
  <c r="B4" i="26"/>
  <c r="B35" i="31"/>
  <c r="C29" i="31"/>
  <c r="C28" i="31"/>
  <c r="B22" i="31"/>
  <c r="B21" i="31"/>
  <c r="B15" i="31"/>
  <c r="B3" i="31"/>
  <c r="B37" i="27"/>
  <c r="B9" i="27"/>
  <c r="B8" i="27"/>
  <c r="B7" i="27"/>
  <c r="B6" i="27"/>
  <c r="B4" i="27"/>
  <c r="B2" i="24"/>
  <c r="B36" i="22"/>
  <c r="B28" i="22"/>
  <c r="B17" i="22"/>
  <c r="B38" i="22" s="1"/>
  <c r="B6" i="22"/>
  <c r="B31" i="20"/>
  <c r="B10" i="22" s="1"/>
  <c r="C18" i="20"/>
  <c r="C19" i="21" s="1"/>
  <c r="C40" i="21" s="1"/>
  <c r="B13" i="20"/>
  <c r="B14" i="21" s="1"/>
  <c r="B35" i="21" s="1"/>
  <c r="B12" i="20"/>
  <c r="B13" i="21" s="1"/>
  <c r="B34" i="21" s="1"/>
  <c r="C11" i="20"/>
  <c r="C12" i="21" s="1"/>
  <c r="C33" i="21" s="1"/>
  <c r="B15" i="20"/>
  <c r="B16" i="21" s="1"/>
  <c r="B37" i="21" s="1"/>
  <c r="B29" i="20"/>
  <c r="K6" i="19"/>
  <c r="F6" i="19"/>
  <c r="G4" i="17"/>
  <c r="L6" i="17"/>
  <c r="F6" i="17"/>
  <c r="G4" i="16"/>
  <c r="G4" i="15"/>
  <c r="K6" i="15"/>
  <c r="F6" i="15"/>
  <c r="B2" i="13"/>
  <c r="B3" i="12"/>
  <c r="B6" i="11"/>
  <c r="L6" i="10"/>
  <c r="E6" i="10"/>
  <c r="M8" i="97"/>
  <c r="G6" i="97"/>
  <c r="B6" i="9"/>
  <c r="B6" i="8"/>
  <c r="B6" i="7"/>
  <c r="B6" i="6"/>
  <c r="B6" i="1"/>
  <c r="B6" i="4"/>
  <c r="F21" i="52"/>
  <c r="C46" i="52"/>
  <c r="B43" i="52"/>
  <c r="F37" i="54"/>
  <c r="H61" i="56"/>
  <c r="F11" i="56"/>
  <c r="B51" i="57"/>
  <c r="B49" i="57"/>
  <c r="J6" i="57"/>
  <c r="B2" i="57"/>
  <c r="B10" i="57"/>
  <c r="B9" i="57"/>
  <c r="K7" i="57"/>
  <c r="K5" i="57"/>
  <c r="K6" i="57"/>
  <c r="K6" i="16" l="1"/>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B27" i="22"/>
  <c r="B37" i="20"/>
  <c r="B9" i="21"/>
  <c r="B30" i="21" s="1"/>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C13" i="121"/>
  <c r="E28" i="45"/>
  <c r="E9" i="46" s="1"/>
  <c r="E28" i="46" s="1"/>
  <c r="E9" i="210" s="1"/>
  <c r="E28" i="210" s="1"/>
  <c r="E9" i="211" s="1"/>
  <c r="E28" i="211" s="1"/>
  <c r="E9" i="212" s="1"/>
  <c r="E28" i="212" s="1"/>
  <c r="E9" i="213" s="1"/>
  <c r="E28" i="213" s="1"/>
  <c r="E9" i="214" s="1"/>
  <c r="E28" i="214" s="1"/>
  <c r="E9" i="215" s="1"/>
  <c r="E28" i="215" s="1"/>
  <c r="E9" i="216" s="1"/>
  <c r="E28" i="216" s="1"/>
  <c r="E9" i="217" s="1"/>
  <c r="E28" i="217" s="1"/>
  <c r="E9" i="218" s="1"/>
  <c r="E28" i="218" s="1"/>
  <c r="J32" i="50"/>
  <c r="H44" i="51"/>
  <c r="J23" i="43"/>
  <c r="J9" i="208" s="1"/>
  <c r="J23" i="208" s="1"/>
  <c r="J9" i="209" s="1"/>
  <c r="J23" i="209" s="1"/>
  <c r="I33" i="24"/>
  <c r="I34" i="24"/>
  <c r="I36" i="24"/>
  <c r="J38"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G28" i="45"/>
  <c r="G9" i="46" s="1"/>
  <c r="I28" i="45"/>
  <c r="J43" i="28"/>
  <c r="J10" i="200" s="1"/>
  <c r="G27" i="19"/>
  <c r="G8" i="197" s="1"/>
  <c r="G27" i="197" s="1"/>
  <c r="G8" i="198" s="1"/>
  <c r="G27" i="198" s="1"/>
  <c r="G8" i="199" s="1"/>
  <c r="G27" i="199" s="1"/>
  <c r="H27" i="19"/>
  <c r="H8" i="197" s="1"/>
  <c r="H27" i="197" s="1"/>
  <c r="H8" i="198" s="1"/>
  <c r="H27" i="198" s="1"/>
  <c r="H8" i="199" s="1"/>
  <c r="H27" i="199" s="1"/>
  <c r="I21" i="40"/>
  <c r="J21" i="40"/>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1" i="40"/>
  <c r="H46" i="4"/>
  <c r="H10" i="1" s="1"/>
  <c r="K21" i="41"/>
  <c r="J21" i="41"/>
  <c r="I21"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J9" i="218" s="1"/>
  <c r="J28" i="218" s="1"/>
  <c r="G44" i="5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I15" i="51" l="1"/>
  <c r="H40" i="305" s="1"/>
  <c r="C23" i="121"/>
  <c r="H25" i="305"/>
  <c r="G24" i="96"/>
  <c r="H24" i="305"/>
  <c r="H22" i="305"/>
  <c r="H23" i="305"/>
  <c r="G9" i="208"/>
  <c r="G23" i="208" s="1"/>
  <c r="G9" i="209" s="1"/>
  <c r="G23" i="209" s="1"/>
  <c r="H21" i="305" s="1"/>
  <c r="C22" i="12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0"/>
  <c r="H28" i="210" s="1"/>
  <c r="H9" i="211"/>
  <c r="H28" i="211" s="1"/>
  <c r="H9" i="212"/>
  <c r="H28" i="212" s="1"/>
  <c r="H9" i="213" s="1"/>
  <c r="H28" i="213" s="1"/>
  <c r="H9" i="214" s="1"/>
  <c r="H28" i="214" s="1"/>
  <c r="H9" i="215" s="1"/>
  <c r="H28" i="215" s="1"/>
  <c r="H9" i="216" s="1"/>
  <c r="H28" i="216" s="1"/>
  <c r="H9" i="217" s="1"/>
  <c r="H28" i="217" s="1"/>
  <c r="H9" i="218" s="1"/>
  <c r="H28" i="218" s="1"/>
  <c r="I16" i="51"/>
  <c r="G13" i="96"/>
  <c r="C21" i="121"/>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I9" i="218" s="1"/>
  <c r="I28" i="218" s="1"/>
  <c r="G13" i="38"/>
  <c r="C20" i="121"/>
  <c r="J6" i="24"/>
  <c r="C12" i="121"/>
  <c r="F9" i="46"/>
  <c r="F28" i="46" s="1"/>
  <c r="F9" i="210" s="1"/>
  <c r="F28" i="210" s="1"/>
  <c r="F9" i="211" s="1"/>
  <c r="F28" i="211" s="1"/>
  <c r="F9" i="212" s="1"/>
  <c r="F28" i="212" s="1"/>
  <c r="F9" i="213" s="1"/>
  <c r="F28" i="213" s="1"/>
  <c r="F9" i="214" s="1"/>
  <c r="F28" i="214" s="1"/>
  <c r="F9" i="215" s="1"/>
  <c r="F28" i="215" s="1"/>
  <c r="F9" i="216" s="1"/>
  <c r="F28" i="216" s="1"/>
  <c r="F9" i="217" s="1"/>
  <c r="F28" i="217" s="1"/>
  <c r="F9" i="218" s="1"/>
  <c r="F28" i="218"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1"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I39" i="22" s="1"/>
  <c r="I43" i="28"/>
  <c r="I10" i="200" s="1"/>
  <c r="I43" i="200" s="1"/>
  <c r="I10" i="201" s="1"/>
  <c r="I43" i="201" s="1"/>
  <c r="I10" i="202" s="1"/>
  <c r="I43" i="202" s="1"/>
  <c r="I10" i="203" s="1"/>
  <c r="I43" i="203" s="1"/>
  <c r="K27" i="19"/>
  <c r="K8" i="197" s="1"/>
  <c r="K27" i="197" s="1"/>
  <c r="K8" i="198" s="1"/>
  <c r="K27" i="198" s="1"/>
  <c r="K8" i="199" s="1"/>
  <c r="K27" i="199" s="1"/>
  <c r="H34" i="7" s="1"/>
  <c r="I11" i="24"/>
  <c r="I10" i="24" s="1"/>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G9" i="218" s="1"/>
  <c r="G28" i="218" s="1"/>
  <c r="I44" i="51"/>
  <c r="I31" i="50" s="1"/>
  <c r="H32" i="31" l="1"/>
  <c r="I12" i="31"/>
  <c r="L30" i="30"/>
  <c r="L32" i="30" s="1"/>
  <c r="F8" i="134"/>
  <c r="F27" i="134" s="1"/>
  <c r="L57" i="48"/>
  <c r="P57" i="48" s="1"/>
  <c r="H27" i="1"/>
  <c r="H44" i="1" s="1"/>
  <c r="H22" i="24"/>
  <c r="J6" i="27" s="1"/>
  <c r="J8" i="27" s="1"/>
  <c r="J10" i="27" s="1"/>
  <c r="J12" i="27" s="1"/>
  <c r="J18" i="27" s="1"/>
  <c r="C14" i="121"/>
  <c r="P29" i="102"/>
  <c r="L35" i="40"/>
  <c r="G21" i="4"/>
  <c r="L23" i="26"/>
  <c r="K21" i="36"/>
  <c r="H35" i="36" s="1"/>
  <c r="P55" i="48"/>
  <c r="G44" i="11"/>
  <c r="G9" i="305" s="1"/>
  <c r="J44" i="51"/>
  <c r="J23" i="29"/>
  <c r="J11" i="24"/>
  <c r="K28" i="46"/>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H38" i="30" l="1"/>
  <c r="K16" i="35"/>
  <c r="K18" i="35" s="1"/>
  <c r="K22" i="35" s="1"/>
  <c r="K37" i="35"/>
  <c r="N34" i="30"/>
  <c r="N35" i="30" s="1"/>
  <c r="K27" i="36" s="1"/>
  <c r="I29" i="36" s="1"/>
  <c r="L45" i="30"/>
  <c r="L48" i="30" s="1"/>
  <c r="J29" i="24" s="1"/>
  <c r="I40" i="24" s="1"/>
  <c r="L13" i="48"/>
  <c r="K8" i="133"/>
  <c r="K27" i="133" s="1"/>
  <c r="F8" i="135"/>
  <c r="F27" i="135" s="1"/>
  <c r="C8" i="121"/>
  <c r="L26" i="26"/>
  <c r="I15" i="31"/>
  <c r="J10" i="24"/>
  <c r="J14" i="24" s="1"/>
  <c r="H31" i="31" s="1"/>
  <c r="I14" i="24"/>
  <c r="K31" i="26"/>
  <c r="L38" i="26" s="1"/>
  <c r="K39" i="35" l="1"/>
  <c r="K43" i="35" s="1"/>
  <c r="I53" i="24"/>
  <c r="F19" i="4"/>
  <c r="F8" i="136"/>
  <c r="F27" i="136" s="1"/>
  <c r="K8" i="134"/>
  <c r="K27" i="134" s="1"/>
  <c r="K31" i="133"/>
  <c r="K29" i="133"/>
  <c r="I21" i="24"/>
  <c r="J21" i="24" s="1"/>
  <c r="I43" i="24"/>
  <c r="K31" i="36"/>
  <c r="H39" i="305"/>
  <c r="J39" i="24" l="1"/>
  <c r="J43" i="24" s="1"/>
  <c r="I14" i="31"/>
  <c r="H34" i="31"/>
  <c r="K8" i="135"/>
  <c r="K27" i="135" s="1"/>
  <c r="K31" i="134"/>
  <c r="K29" i="134"/>
  <c r="F8" i="137"/>
  <c r="F27" i="137" s="1"/>
  <c r="I22" i="24"/>
  <c r="C16" i="121" s="1"/>
  <c r="H36" i="7"/>
  <c r="I11" i="31"/>
  <c r="F18" i="4"/>
  <c r="M28" i="36"/>
  <c r="I32" i="50"/>
  <c r="J22" i="24"/>
  <c r="F8" i="138" l="1"/>
  <c r="F27" i="138" s="1"/>
  <c r="K8" i="136"/>
  <c r="K27" i="136" s="1"/>
  <c r="K29" i="135"/>
  <c r="K31" i="135"/>
  <c r="J44" i="31"/>
  <c r="M31" i="36"/>
  <c r="I37" i="36"/>
  <c r="G20" i="4"/>
  <c r="H39" i="367" s="1"/>
  <c r="H44" i="11"/>
  <c r="H9" i="305" s="1"/>
  <c r="H44" i="305" s="1"/>
  <c r="H44" i="31" l="1"/>
  <c r="L9" i="26" s="1"/>
  <c r="I43" i="31"/>
  <c r="G40" i="4" s="1"/>
  <c r="G46" i="4" s="1"/>
  <c r="K8" i="137"/>
  <c r="K27" i="137" s="1"/>
  <c r="K29" i="136"/>
  <c r="K31" i="136"/>
  <c r="F8" i="139"/>
  <c r="F27" i="139" s="1"/>
  <c r="G10" i="1" l="1"/>
  <c r="G44" i="1" s="1"/>
  <c r="H45" i="31"/>
  <c r="F8" i="140"/>
  <c r="F27" i="140" s="1"/>
  <c r="K8" i="138"/>
  <c r="K27" i="138" s="1"/>
  <c r="K29" i="137"/>
  <c r="K31" i="137"/>
  <c r="I45" i="31"/>
  <c r="C6" i="121" s="1"/>
  <c r="L15" i="26"/>
  <c r="K14" i="26"/>
  <c r="C5" i="121" l="1"/>
  <c r="H42" i="367"/>
  <c r="K8" i="139"/>
  <c r="K27" i="139" s="1"/>
  <c r="K31" i="138"/>
  <c r="K29" i="138"/>
  <c r="F8" i="141"/>
  <c r="F27" i="141" s="1"/>
  <c r="K15" i="26"/>
  <c r="F8" i="142" l="1"/>
  <c r="F27" i="142" s="1"/>
  <c r="K8" i="140"/>
  <c r="K27" i="140" s="1"/>
  <c r="K29" i="139"/>
  <c r="K31" i="139"/>
  <c r="K8" i="141" l="1"/>
  <c r="K27" i="141" s="1"/>
  <c r="K31" i="140"/>
  <c r="K29" i="140"/>
  <c r="F8" i="143"/>
  <c r="F27" i="143" s="1"/>
  <c r="F8" i="144" l="1"/>
  <c r="F27" i="144" s="1"/>
  <c r="K8" i="142"/>
  <c r="K27" i="142" s="1"/>
  <c r="K31" i="141"/>
  <c r="K29" i="141"/>
  <c r="H10" i="367"/>
  <c r="H25" i="367" s="1"/>
  <c r="G10" i="367"/>
  <c r="G25" i="367" s="1"/>
  <c r="G44" i="367" s="1"/>
  <c r="H44" i="367" l="1"/>
  <c r="L27" i="26"/>
  <c r="K8" i="143"/>
  <c r="K27" i="143" s="1"/>
  <c r="K31" i="142"/>
  <c r="K29" i="142"/>
  <c r="F8" i="145"/>
  <c r="F27" i="145" s="1"/>
  <c r="F8" i="146" s="1"/>
  <c r="F27" i="146" s="1"/>
  <c r="K50" i="108"/>
  <c r="L28" i="26" l="1"/>
  <c r="L39" i="26" s="1"/>
  <c r="C10" i="121"/>
  <c r="L8" i="109"/>
  <c r="M10" i="109" s="1"/>
  <c r="K13" i="109" s="1"/>
  <c r="K21" i="108"/>
  <c r="M33" i="108" s="1"/>
  <c r="F8" i="148"/>
  <c r="F27" i="148" s="1"/>
  <c r="K8" i="144"/>
  <c r="K27" i="144" s="1"/>
  <c r="K29" i="143"/>
  <c r="K31" i="143"/>
  <c r="K38" i="108" l="1"/>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F8" i="149" l="1"/>
  <c r="F27" i="149" s="1"/>
  <c r="K14" i="109"/>
  <c r="M14" i="109" s="1"/>
  <c r="L22" i="109"/>
  <c r="K27" i="109" s="1"/>
  <c r="F8" i="150" l="1"/>
  <c r="F27" i="150" s="1"/>
  <c r="K28" i="109"/>
  <c r="L28" i="109"/>
  <c r="F8" i="151" l="1"/>
  <c r="F27" i="151" s="1"/>
  <c r="H42" i="103"/>
  <c r="H44" i="103" s="1"/>
  <c r="F8" i="152" l="1"/>
  <c r="F27" i="152" s="1"/>
  <c r="F8" i="153" s="1"/>
  <c r="F27" i="153" s="1"/>
  <c r="F8" i="154" s="1"/>
  <c r="F27" i="154" s="1"/>
  <c r="F8" i="155" s="1"/>
  <c r="F27" i="155" s="1"/>
  <c r="F8" i="156" s="1"/>
  <c r="F27" i="156" s="1"/>
  <c r="H57" i="103"/>
  <c r="J44" i="103"/>
  <c r="I27" i="145"/>
  <c r="K31" i="145" l="1"/>
  <c r="I8" i="146"/>
  <c r="I27" i="146" s="1"/>
  <c r="K29" i="145"/>
  <c r="J43" i="200"/>
  <c r="J10" i="201" s="1"/>
  <c r="J43" i="201" s="1"/>
  <c r="J10" i="202" s="1"/>
  <c r="J43" i="202" s="1"/>
  <c r="J10" i="203" s="1"/>
  <c r="J43" i="203" s="1"/>
  <c r="I8" i="148" l="1"/>
  <c r="I27" i="148" s="1"/>
  <c r="K31" i="146"/>
  <c r="K29" i="146"/>
  <c r="I8" i="147" l="1"/>
  <c r="I27" i="147" s="1"/>
  <c r="K29" i="148"/>
  <c r="K31" i="148"/>
  <c r="I8" i="149" l="1"/>
  <c r="I27" i="149" s="1"/>
  <c r="K31" i="147"/>
  <c r="K29" i="147"/>
  <c r="I8" i="150" l="1"/>
  <c r="I27" i="150" s="1"/>
  <c r="K31" i="149"/>
  <c r="K29" i="149"/>
  <c r="I8" i="151" l="1"/>
  <c r="I27" i="151" s="1"/>
  <c r="K31" i="150"/>
  <c r="K29" i="150"/>
  <c r="I8" i="152" l="1"/>
  <c r="I27" i="152" s="1"/>
  <c r="I8" i="153" s="1"/>
  <c r="I27" i="153" s="1"/>
  <c r="I8" i="154" s="1"/>
  <c r="I27" i="154" s="1"/>
  <c r="I8" i="155" s="1"/>
  <c r="I27" i="155" s="1"/>
  <c r="I8" i="156" s="1"/>
  <c r="I27" i="156" s="1"/>
  <c r="K31" i="151"/>
  <c r="K29" i="151"/>
  <c r="E27" i="332"/>
  <c r="E9" i="333" s="1"/>
  <c r="E27" i="333" s="1"/>
  <c r="E9" i="335" s="1"/>
  <c r="E27" i="335" s="1"/>
  <c r="G44" i="305"/>
  <c r="K50" i="225" l="1"/>
  <c r="L8" i="226" s="1"/>
  <c r="J18" i="225"/>
  <c r="K21" i="225" s="1"/>
  <c r="M33" i="225" s="1"/>
  <c r="K38" i="225" s="1"/>
  <c r="J41" i="225" s="1"/>
  <c r="M10" i="226" l="1"/>
  <c r="K33" i="225"/>
  <c r="J36" i="225" s="1"/>
  <c r="K13" i="226" l="1"/>
  <c r="L12" i="226"/>
  <c r="L14" i="226" s="1"/>
  <c r="L22" i="226" l="1"/>
  <c r="K14" i="226"/>
  <c r="M14" i="226" s="1"/>
  <c r="L28" i="226" l="1"/>
  <c r="K27" i="226"/>
  <c r="H42" i="220" l="1"/>
  <c r="H44" i="220" s="1"/>
  <c r="K28" i="226"/>
  <c r="J44" i="220" l="1"/>
  <c r="H57" i="220"/>
  <c r="K50" i="237"/>
  <c r="L8" i="238" s="1"/>
  <c r="J18" i="237"/>
  <c r="K21" i="237" s="1"/>
  <c r="M33" i="237" s="1"/>
  <c r="K38" i="237" l="1"/>
  <c r="J41" i="237" s="1"/>
  <c r="K33" i="237"/>
  <c r="J36" i="237" s="1"/>
  <c r="M10" i="238"/>
  <c r="K13" i="238" l="1"/>
  <c r="L12" i="238"/>
  <c r="L14" i="238" s="1"/>
  <c r="L22" i="238" l="1"/>
  <c r="K14" i="238"/>
  <c r="M14" i="238" s="1"/>
  <c r="L28" i="238" l="1"/>
  <c r="K27" i="238"/>
  <c r="H42" i="232" l="1"/>
  <c r="H44" i="232" s="1"/>
  <c r="K28" i="238"/>
  <c r="H57" i="232" l="1"/>
  <c r="J44" i="232"/>
  <c r="K50" i="249"/>
  <c r="L8" i="250" s="1"/>
  <c r="K21" i="249"/>
  <c r="M33" i="249" s="1"/>
  <c r="K33" i="249" l="1"/>
  <c r="J36" i="249" s="1"/>
  <c r="K38" i="249"/>
  <c r="J41" i="249" s="1"/>
  <c r="M10" i="250"/>
  <c r="K13" i="250" l="1"/>
  <c r="L12" i="250"/>
  <c r="L14" i="250" s="1"/>
  <c r="K14" i="250" l="1"/>
  <c r="M14" i="250" s="1"/>
  <c r="L22" i="250"/>
  <c r="K27" i="250" l="1"/>
  <c r="L28" i="250"/>
  <c r="K28" i="250" l="1"/>
  <c r="H42" i="244"/>
  <c r="H44" i="244" s="1"/>
  <c r="H57" i="244" l="1"/>
  <c r="J44" i="244"/>
  <c r="K50" i="261"/>
  <c r="L8" i="262" s="1"/>
  <c r="J18" i="261"/>
  <c r="K21" i="261" s="1"/>
  <c r="M33" i="261" s="1"/>
  <c r="M10" i="262" l="1"/>
  <c r="K33" i="261"/>
  <c r="J36" i="261" s="1"/>
  <c r="K38" i="261"/>
  <c r="J41" i="261" s="1"/>
  <c r="K13" i="262" l="1"/>
  <c r="L12" i="262"/>
  <c r="L14" i="262" s="1"/>
  <c r="L22" i="262" l="1"/>
  <c r="K14" i="262"/>
  <c r="M14" i="262" s="1"/>
  <c r="L28" i="262" l="1"/>
  <c r="K27" i="262"/>
  <c r="H42" i="256" l="1"/>
  <c r="H44" i="256" s="1"/>
  <c r="K28" i="262"/>
  <c r="H57" i="256" l="1"/>
  <c r="J44" i="256"/>
  <c r="K50" i="272"/>
  <c r="L8" i="273" s="1"/>
  <c r="J18" i="272"/>
  <c r="K21" i="272" s="1"/>
  <c r="M33" i="272" s="1"/>
  <c r="M10" i="273" l="1"/>
  <c r="K38" i="272"/>
  <c r="J41" i="272" s="1"/>
  <c r="K33" i="272"/>
  <c r="J36" i="272" s="1"/>
  <c r="K13" i="273" l="1"/>
  <c r="L12" i="273"/>
  <c r="L14" i="273" s="1"/>
  <c r="L22" i="273" l="1"/>
  <c r="K14" i="273"/>
  <c r="M14" i="273" s="1"/>
  <c r="K27" i="273" l="1"/>
  <c r="L28" i="273"/>
  <c r="H42" i="268" l="1"/>
  <c r="H44" i="268" s="1"/>
  <c r="K28" i="273"/>
  <c r="J44" i="268" l="1"/>
  <c r="H57" i="268"/>
  <c r="H44" i="364"/>
  <c r="K27" i="322"/>
  <c r="H22" i="344" s="1"/>
  <c r="L27" i="322"/>
  <c r="H23" i="344" l="1"/>
  <c r="H44" i="344" s="1"/>
  <c r="L42" i="322"/>
</calcChain>
</file>

<file path=xl/sharedStrings.xml><?xml version="1.0" encoding="utf-8"?>
<sst xmlns="http://schemas.openxmlformats.org/spreadsheetml/2006/main" count="13667" uniqueCount="4063">
  <si>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</si>
  <si>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</si>
  <si>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</si>
  <si>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</si>
  <si>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</si>
  <si>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</si>
  <si>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</si>
  <si>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</si>
  <si>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</si>
  <si>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</si>
  <si>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</si>
  <si>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</si>
  <si>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</si>
  <si>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</si>
  <si>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</si>
  <si>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</si>
  <si>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</si>
  <si>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</si>
  <si>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</si>
  <si>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</si>
  <si>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</si>
  <si>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</si>
  <si>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</si>
  <si>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</si>
  <si>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</si>
  <si>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</si>
  <si>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</si>
  <si>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</si>
  <si>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</si>
  <si>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</si>
  <si>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</si>
  <si>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</si>
  <si>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</si>
  <si>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</si>
  <si>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</si>
  <si>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</si>
  <si>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</si>
  <si>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</si>
  <si>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</si>
  <si>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</si>
  <si>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</si>
  <si>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</si>
  <si>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</si>
  <si>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</si>
  <si>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</si>
  <si>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</si>
  <si>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</si>
  <si>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</si>
  <si>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</si>
  <si>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</si>
  <si>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</si>
  <si>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</si>
  <si>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</si>
  <si>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</si>
  <si>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</si>
  <si>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</si>
  <si>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</si>
  <si>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</si>
  <si>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</si>
  <si>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</si>
  <si>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</si>
  <si>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</si>
  <si>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</si>
  <si>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</si>
  <si>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</si>
  <si>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</si>
  <si>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</si>
  <si>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</si>
  <si>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</si>
  <si>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</si>
  <si>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</si>
  <si>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</si>
  <si>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</si>
  <si>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</si>
  <si>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</si>
  <si>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</si>
  <si>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</si>
  <si>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</si>
  <si>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</si>
  <si>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</si>
  <si>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</si>
  <si>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</si>
  <si>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</si>
  <si>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</si>
  <si>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</si>
  <si>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</si>
  <si>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</si>
  <si>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</si>
  <si>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</si>
  <si>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</si>
  <si>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</si>
  <si>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</si>
  <si>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</si>
  <si>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</si>
  <si>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</si>
  <si>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</si>
  <si>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</si>
  <si>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</si>
  <si>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</si>
  <si>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</si>
  <si>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</si>
  <si>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</si>
  <si>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</si>
  <si>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</si>
  <si>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</si>
  <si>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</si>
  <si>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</si>
  <si>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</si>
  <si>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</si>
  <si>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</si>
  <si>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</si>
  <si>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</si>
  <si>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</si>
  <si>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</si>
  <si>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</si>
  <si>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</si>
  <si>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</si>
  <si>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</si>
  <si>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</si>
  <si>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</si>
  <si>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</si>
  <si>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</si>
  <si>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</si>
  <si>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</si>
  <si>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</si>
  <si>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</si>
  <si>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</si>
  <si>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</si>
  <si>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</si>
  <si>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</si>
  <si>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</si>
  <si>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</si>
  <si>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</si>
  <si>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</si>
  <si>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</si>
  <si>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</si>
  <si>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</si>
  <si>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</si>
  <si>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</si>
  <si>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</si>
  <si>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</si>
  <si>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</si>
  <si>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</si>
  <si>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</si>
  <si>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</si>
  <si>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</si>
  <si>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</si>
  <si>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</si>
  <si>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</si>
  <si>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</si>
  <si>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</si>
  <si>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</si>
  <si>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</si>
  <si>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</si>
  <si>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</si>
  <si>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</si>
  <si>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</si>
  <si>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</si>
  <si>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</si>
  <si>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</si>
  <si>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</si>
  <si>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</si>
  <si>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</si>
  <si>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</si>
  <si>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</si>
  <si>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</si>
  <si>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</si>
  <si>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</si>
  <si>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</si>
  <si>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</si>
  <si>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</si>
  <si>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</si>
  <si>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</si>
  <si>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</si>
  <si>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</si>
  <si>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</si>
  <si>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</si>
  <si>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</si>
  <si>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</si>
  <si>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</si>
  <si>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</si>
  <si>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</si>
  <si>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</si>
  <si>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</si>
  <si>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</si>
  <si>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</si>
  <si>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</si>
  <si>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</si>
  <si>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</si>
  <si>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</si>
  <si>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</si>
  <si>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</si>
  <si>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</si>
  <si>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</si>
  <si>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</si>
  <si>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</si>
  <si>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</si>
  <si>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</si>
  <si>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</si>
  <si>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</si>
  <si>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</si>
  <si>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</si>
  <si>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</si>
  <si>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</si>
  <si>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</si>
  <si>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</si>
  <si>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</si>
  <si>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</si>
  <si>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</si>
  <si>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</si>
  <si>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</si>
  <si>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</si>
  <si>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</si>
  <si>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</si>
  <si>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</si>
  <si>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</si>
  <si>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</si>
  <si>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</si>
  <si>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</si>
  <si>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</si>
  <si>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</si>
  <si>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</si>
  <si>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</si>
  <si>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</si>
  <si>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</si>
  <si>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</si>
  <si>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</si>
  <si>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</si>
  <si>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</si>
  <si>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</si>
  <si>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</si>
  <si>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</si>
  <si>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</si>
  <si>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</si>
  <si>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</si>
  <si>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</si>
  <si>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</si>
  <si>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</si>
  <si>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</si>
  <si>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</si>
  <si>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</si>
  <si>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</si>
  <si>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</si>
  <si>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</si>
  <si>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</si>
  <si>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</si>
  <si>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</si>
  <si>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</si>
  <si>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</si>
  <si>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</si>
  <si>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</si>
  <si>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</si>
  <si>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</si>
  <si>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</si>
  <si>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</si>
  <si>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</si>
  <si>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</si>
  <si>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</si>
  <si>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</si>
  <si>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</si>
  <si>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</si>
  <si>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</si>
  <si>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</si>
  <si>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</si>
  <si>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</si>
  <si>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</si>
  <si>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</si>
  <si>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</si>
  <si>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</si>
  <si>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</si>
  <si>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</si>
  <si>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</si>
  <si>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</si>
  <si>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</si>
  <si>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</si>
  <si>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</si>
  <si>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</si>
  <si>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</si>
  <si>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</si>
  <si>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</si>
  <si>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</si>
  <si>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</si>
  <si>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</si>
  <si>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</si>
  <si>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</si>
  <si>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</si>
  <si>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</si>
  <si>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</si>
  <si>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</si>
  <si>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</si>
  <si>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</si>
  <si>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</si>
  <si>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</si>
  <si>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</si>
  <si>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</si>
  <si>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</si>
  <si>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</si>
  <si>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</si>
  <si>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</si>
  <si>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</si>
  <si>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</si>
  <si>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</si>
  <si>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</si>
  <si>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</si>
  <si>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</si>
  <si>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</si>
  <si>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</si>
  <si>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</si>
  <si>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</si>
  <si>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</si>
  <si>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</si>
  <si>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</si>
  <si>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</si>
  <si>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</si>
  <si>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</si>
  <si>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</si>
  <si>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</si>
  <si>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</si>
  <si>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</si>
  <si>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</si>
  <si>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</si>
  <si>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</si>
  <si>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</si>
  <si>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</si>
  <si>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</si>
  <si>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</si>
  <si>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</si>
  <si>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</si>
  <si>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</si>
  <si>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</si>
  <si>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</si>
  <si>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</si>
  <si>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</si>
  <si>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</si>
  <si>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</si>
  <si>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</si>
  <si>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</si>
  <si>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</si>
  <si>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</si>
  <si>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</si>
  <si>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</si>
  <si>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</si>
  <si>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</si>
  <si>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</si>
  <si>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</si>
  <si>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</si>
  <si>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</si>
  <si>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</si>
  <si>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</si>
  <si>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</si>
  <si>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</si>
  <si>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</si>
  <si>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</si>
  <si>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</si>
  <si>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</si>
  <si>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</si>
  <si>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</si>
  <si>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</si>
  <si>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</si>
  <si>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</si>
  <si>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</si>
  <si>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</si>
  <si>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</si>
  <si>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</si>
  <si>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</si>
  <si>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</si>
  <si>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</si>
  <si>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</si>
  <si>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</si>
  <si>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</si>
  <si>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</si>
  <si>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</si>
  <si>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</si>
  <si>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</si>
  <si>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</si>
  <si>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</si>
  <si>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</si>
  <si>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</si>
  <si>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</si>
  <si>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</si>
  <si>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</si>
  <si>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</si>
  <si>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</si>
  <si>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</si>
  <si>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</si>
  <si>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</si>
  <si>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</si>
  <si>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</si>
  <si>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</si>
  <si>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</si>
  <si>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</si>
  <si>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</si>
  <si>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</si>
  <si>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</si>
  <si>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</si>
  <si>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</si>
  <si>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</si>
  <si>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</si>
  <si>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</si>
  <si>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</si>
  <si>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</si>
  <si>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</si>
  <si>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</si>
  <si>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</si>
  <si>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</si>
  <si>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</si>
  <si>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</si>
  <si>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</si>
  <si>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</si>
  <si>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</si>
  <si>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</si>
  <si>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</si>
  <si>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</si>
  <si>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maximum amount that may be anticipated in 2013.</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</si>
  <si>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</si>
  <si>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</si>
  <si>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</si>
  <si>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</si>
  <si>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</si>
  <si>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</si>
  <si>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</si>
  <si>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</si>
  <si>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</si>
  <si>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</si>
  <si>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</si>
  <si>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</si>
  <si>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</si>
  <si>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</si>
  <si>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</si>
  <si>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</si>
  <si>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</si>
  <si>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</si>
  <si>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</si>
  <si>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</si>
  <si>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</si>
  <si>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</si>
  <si>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</si>
  <si>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</si>
  <si>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</si>
  <si>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</si>
  <si>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</si>
  <si>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</si>
  <si>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</si>
  <si>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</si>
  <si>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</si>
  <si>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</si>
  <si>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</si>
  <si>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</si>
  <si>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</si>
  <si>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</si>
  <si>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</si>
  <si>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</si>
  <si>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</si>
  <si>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</si>
  <si>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</si>
  <si>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</si>
  <si>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</si>
  <si>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</si>
  <si>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</si>
  <si>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</si>
  <si>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</si>
  <si>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</si>
  <si>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</si>
  <si>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</si>
  <si>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</si>
  <si>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</si>
  <si>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</si>
  <si>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</si>
  <si>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</si>
  <si>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</si>
  <si>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</si>
  <si>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</si>
  <si>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</si>
  <si>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</si>
  <si>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</si>
  <si>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</si>
  <si>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</si>
  <si>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</si>
  <si>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</si>
  <si>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</si>
  <si>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</si>
  <si>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</si>
  <si>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</si>
  <si>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</si>
  <si>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</si>
  <si>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</si>
  <si>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</si>
  <si>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</si>
  <si>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</si>
  <si>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</si>
  <si>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</si>
  <si>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</si>
  <si>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</si>
  <si>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</si>
  <si>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</si>
  <si>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</si>
  <si>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</si>
  <si>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</si>
  <si>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</si>
  <si>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</si>
  <si>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</si>
  <si>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</si>
  <si>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</si>
  <si>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</si>
  <si>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</si>
  <si>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</si>
  <si>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</si>
  <si>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</si>
  <si>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</si>
  <si>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</si>
  <si>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</si>
  <si>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</si>
  <si>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</si>
  <si>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</si>
  <si>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</si>
  <si>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</si>
  <si>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</si>
  <si>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</si>
  <si>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</si>
  <si>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</si>
  <si>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</si>
  <si>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</si>
  <si>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</si>
  <si>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</si>
  <si>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</si>
  <si>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</si>
  <si>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</si>
  <si>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</si>
  <si>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</si>
  <si>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</si>
  <si>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</si>
  <si>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</si>
  <si>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</si>
  <si>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</si>
  <si>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</si>
  <si>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</si>
  <si>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</si>
  <si>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</si>
  <si>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</si>
  <si>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</si>
  <si>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</si>
  <si>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</si>
  <si>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</si>
  <si>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</si>
  <si>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</si>
  <si>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</si>
  <si>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</si>
  <si>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</si>
  <si>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</si>
  <si>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</si>
  <si>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</si>
  <si>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</si>
  <si>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</si>
  <si>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</si>
  <si>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</si>
  <si>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</si>
  <si>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</si>
  <si>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</si>
  <si>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</si>
  <si>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</si>
  <si>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</si>
  <si>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</si>
  <si>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</si>
  <si>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</si>
  <si>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</si>
  <si>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</si>
  <si>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</si>
  <si>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</si>
  <si>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</si>
  <si>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</si>
  <si>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</si>
  <si>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</si>
  <si>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</si>
  <si>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</si>
  <si>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RESERVE FOR CAPITAL PROJECTS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</si>
  <si>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</si>
  <si>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</si>
  <si>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</si>
  <si>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</si>
  <si>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</si>
  <si>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</si>
  <si>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</si>
  <si>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</si>
  <si>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</si>
  <si>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</si>
  <si>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</si>
  <si>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</si>
  <si>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</si>
  <si>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</si>
  <si>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</si>
  <si>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</si>
  <si>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</si>
  <si>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</si>
  <si>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</si>
  <si>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</si>
  <si>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</si>
  <si>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</si>
  <si>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</si>
  <si>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</si>
  <si>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</si>
  <si>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</si>
  <si>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</si>
  <si>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</si>
  <si>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</si>
  <si>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</si>
  <si>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</si>
  <si>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</si>
  <si>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</si>
  <si>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</si>
  <si>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</si>
  <si>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</si>
  <si>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</si>
  <si>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</si>
  <si>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</si>
  <si>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</si>
  <si>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</si>
  <si>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</si>
  <si>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</si>
  <si>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</si>
  <si>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</si>
  <si>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</si>
  <si>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</si>
  <si>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</si>
  <si>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</si>
  <si>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</si>
  <si>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</si>
  <si>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</si>
  <si>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</si>
  <si>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</si>
  <si>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</si>
  <si>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</si>
  <si>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</si>
  <si>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</si>
  <si>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</si>
  <si>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</si>
  <si>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</si>
  <si>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</si>
  <si>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</si>
  <si>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</si>
  <si>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</si>
  <si>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</si>
  <si>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</si>
  <si>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</si>
  <si>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</si>
  <si>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</si>
  <si>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</si>
  <si>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</si>
  <si>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</si>
  <si>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</si>
  <si>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</si>
  <si>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</si>
  <si>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</si>
  <si>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</si>
  <si>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</si>
  <si>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</si>
  <si>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</si>
  <si>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</si>
  <si>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</si>
  <si>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</si>
  <si>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</si>
  <si>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</si>
  <si>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</si>
  <si>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</si>
  <si>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</si>
  <si>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</si>
  <si>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Sheet  35a</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</si>
  <si>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</si>
  <si>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</si>
  <si>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</si>
  <si>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</si>
  <si>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</si>
  <si>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</si>
  <si>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</si>
  <si>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</si>
  <si>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</si>
  <si>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</si>
  <si>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</si>
  <si>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</si>
  <si>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</si>
  <si>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</si>
  <si>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</si>
  <si>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</si>
  <si>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</si>
  <si>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</si>
  <si>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</si>
  <si>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</si>
  <si>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</si>
  <si>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</si>
  <si>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</si>
  <si>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</si>
  <si>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</si>
  <si>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</si>
  <si>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</si>
  <si>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</si>
  <si>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</si>
  <si>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</si>
  <si>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</si>
  <si>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</si>
  <si>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</si>
  <si>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</si>
  <si>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</si>
  <si>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</si>
  <si>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</si>
  <si>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</si>
  <si>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</si>
  <si>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</si>
  <si>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</si>
  <si>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</si>
  <si>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</si>
  <si>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</si>
  <si>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</si>
  <si>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</si>
  <si>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</si>
  <si>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</si>
  <si>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</si>
  <si>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</si>
  <si>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</si>
  <si>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</si>
  <si>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</si>
  <si>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</si>
  <si>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</si>
  <si>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</si>
  <si>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</si>
  <si>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</si>
  <si>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</si>
  <si>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</si>
  <si>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</si>
  <si>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</si>
  <si>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</si>
  <si>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</si>
  <si>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</si>
  <si>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</si>
  <si>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</si>
  <si>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</si>
  <si>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</si>
  <si>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</si>
  <si>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</si>
  <si>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</si>
  <si>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</si>
  <si>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</si>
  <si>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</si>
  <si>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</si>
  <si>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</si>
  <si>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</si>
  <si>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</si>
  <si>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</si>
  <si>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</si>
  <si>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</si>
  <si>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</si>
  <si>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</si>
  <si>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</si>
  <si>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</si>
  <si>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</si>
  <si>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</si>
  <si>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</si>
  <si>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</si>
  <si>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</si>
  <si>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</si>
  <si>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</si>
  <si>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</si>
  <si>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</si>
  <si>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</si>
  <si>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</si>
  <si>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</si>
  <si>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</si>
  <si>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</si>
  <si>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</si>
  <si>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</si>
  <si>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</si>
  <si>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</si>
  <si>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</si>
  <si>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</si>
  <si>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</si>
  <si>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</si>
  <si>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</si>
  <si>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</si>
  <si>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</si>
  <si>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</si>
  <si>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</si>
  <si>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</si>
  <si>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</si>
  <si>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</si>
  <si>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</si>
  <si>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</si>
  <si>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</si>
  <si>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</si>
  <si>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</si>
  <si>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</si>
  <si>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</si>
  <si>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</si>
  <si>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</si>
  <si>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</si>
  <si>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</si>
  <si>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</si>
  <si>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</si>
  <si>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</si>
  <si>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</si>
  <si>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</si>
  <si>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</si>
  <si>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</si>
  <si>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</si>
  <si>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</si>
  <si>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</si>
  <si>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</si>
  <si>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</si>
  <si>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</si>
  <si>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</si>
  <si>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</si>
  <si>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</si>
  <si>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</si>
  <si>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</si>
  <si>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</si>
  <si>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</si>
  <si>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</si>
  <si>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</si>
  <si>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</si>
  <si>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</si>
  <si>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</si>
  <si>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</si>
  <si>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</si>
  <si>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</si>
  <si>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</si>
  <si>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</si>
  <si>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</si>
  <si>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</si>
  <si>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</si>
  <si>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</si>
  <si>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</si>
  <si>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</si>
  <si>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</si>
  <si>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</si>
  <si>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</si>
  <si>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</si>
  <si>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</si>
  <si>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</si>
  <si>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</si>
  <si>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</si>
  <si>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</si>
  <si>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</si>
  <si>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</si>
  <si>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</si>
  <si>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</si>
  <si>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</si>
  <si>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</si>
  <si>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</si>
  <si>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</si>
  <si>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</si>
  <si>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</si>
  <si>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</si>
  <si>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</si>
  <si>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</si>
  <si>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</si>
  <si>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</si>
  <si>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</si>
  <si>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</si>
  <si>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</si>
  <si>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</si>
  <si>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</si>
  <si>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</si>
  <si>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</si>
  <si>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</si>
  <si>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</si>
  <si>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</si>
  <si>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</si>
  <si>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</si>
  <si>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</si>
  <si>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</si>
  <si>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</si>
  <si>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</si>
  <si>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</si>
  <si>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</si>
  <si>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</si>
  <si>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</si>
  <si>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</si>
  <si>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</si>
  <si>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</si>
  <si>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</si>
  <si>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</si>
  <si>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</si>
  <si>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</si>
  <si>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</si>
  <si>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</si>
  <si>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</si>
  <si>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</si>
  <si>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</si>
  <si>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</si>
  <si>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</si>
  <si>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</si>
  <si>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</si>
  <si>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</si>
  <si>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</si>
  <si>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</si>
  <si>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</si>
  <si>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</si>
  <si>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</si>
  <si>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</si>
  <si>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</si>
  <si>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</si>
  <si>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</si>
  <si>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</si>
  <si>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</si>
  <si>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</si>
  <si>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</si>
  <si>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</si>
  <si>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</si>
  <si>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</si>
  <si>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</si>
  <si>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</si>
  <si>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</si>
  <si>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</si>
  <si>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</si>
  <si>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</si>
  <si>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</si>
  <si>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</si>
  <si>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</si>
  <si>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</si>
  <si>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</si>
  <si>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</si>
  <si>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</si>
  <si>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</si>
  <si>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</si>
  <si>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</si>
  <si>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</si>
  <si>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</si>
  <si>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</si>
  <si>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</si>
  <si>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</si>
  <si>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</si>
  <si>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</si>
  <si>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</si>
  <si>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</si>
  <si>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</si>
  <si>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</si>
  <si>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</si>
  <si>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</si>
  <si>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</si>
  <si>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</si>
  <si>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</si>
  <si>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</si>
  <si>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</si>
  <si>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</si>
  <si>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</si>
  <si>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</si>
  <si>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</si>
  <si>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</si>
  <si>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</si>
  <si>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</si>
  <si>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</si>
  <si>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</si>
  <si>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</si>
  <si>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</si>
  <si>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</si>
  <si>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</si>
  <si>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</si>
  <si>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</si>
  <si>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</si>
  <si>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</si>
  <si>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</si>
  <si>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</si>
  <si>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</si>
  <si>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</si>
  <si>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</si>
  <si>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</si>
  <si>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</si>
  <si>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</si>
  <si>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</si>
  <si>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</si>
  <si>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</si>
  <si>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</si>
  <si>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</si>
  <si>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</si>
  <si>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</si>
  <si>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</si>
  <si>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</si>
  <si>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</si>
  <si>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</si>
  <si>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</si>
  <si>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</si>
  <si>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</si>
  <si>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</si>
  <si>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</si>
  <si>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</si>
  <si>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</si>
  <si>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</si>
  <si>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</si>
  <si>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</si>
  <si>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</si>
  <si>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</si>
  <si>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</si>
  <si>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</si>
  <si>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</si>
  <si>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</si>
  <si>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</si>
  <si>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</si>
  <si>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</si>
  <si>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</si>
  <si>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</si>
  <si>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</si>
  <si>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</si>
  <si>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</si>
  <si>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</si>
  <si>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</si>
  <si>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</si>
  <si>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</si>
  <si>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</si>
  <si>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</si>
  <si>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</si>
  <si>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</si>
  <si>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</si>
  <si>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</si>
  <si>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</si>
  <si>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</si>
  <si>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</si>
  <si>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</si>
  <si>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</si>
  <si>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</si>
  <si>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</si>
  <si>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</si>
  <si>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</si>
  <si>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</si>
  <si>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</si>
  <si>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</si>
  <si>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</si>
  <si>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</si>
  <si>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</si>
  <si>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</si>
  <si>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</si>
  <si>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</si>
  <si>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</si>
  <si>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</si>
  <si>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</si>
  <si>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</si>
  <si>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</si>
  <si>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</si>
  <si>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</si>
  <si>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</si>
  <si>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</si>
  <si>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</si>
  <si>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</si>
  <si>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</si>
  <si>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</si>
  <si>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</si>
  <si>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</si>
  <si>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</si>
  <si>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</si>
  <si>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</si>
  <si>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</si>
  <si>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</si>
  <si>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</si>
  <si>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</si>
  <si>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</si>
  <si>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</si>
  <si>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</si>
  <si>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</si>
  <si>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</si>
  <si>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</si>
  <si>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</si>
  <si>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</si>
  <si>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</si>
  <si>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</si>
  <si>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</si>
  <si>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</si>
  <si>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</si>
  <si>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</si>
  <si>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</si>
  <si>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</si>
  <si>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</si>
  <si>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</si>
  <si>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</si>
  <si>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</si>
  <si>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</si>
  <si>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</si>
  <si>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</si>
  <si>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</si>
  <si>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</si>
  <si>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</si>
  <si>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</si>
  <si>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</si>
  <si>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</si>
  <si>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</si>
  <si>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</si>
  <si>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</si>
  <si>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</si>
  <si>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</si>
  <si>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</si>
  <si>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</si>
  <si>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</si>
  <si>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</si>
  <si>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</si>
  <si>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</si>
  <si>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</si>
  <si>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</si>
  <si>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</si>
  <si>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</si>
  <si>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</si>
  <si>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</si>
  <si>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</si>
  <si>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</si>
  <si>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</si>
  <si>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</si>
  <si>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</si>
  <si>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</si>
  <si>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</si>
  <si>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</si>
  <si>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</si>
  <si>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</si>
  <si>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</si>
  <si>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</si>
  <si>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</si>
  <si>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</si>
  <si>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</si>
  <si>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</si>
  <si>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</si>
  <si>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</si>
  <si>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</si>
  <si>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</si>
  <si>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</si>
  <si>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</si>
  <si>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</si>
  <si>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</si>
  <si>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</si>
  <si>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</si>
  <si>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</si>
  <si>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</si>
  <si>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</si>
  <si>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</si>
  <si>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</si>
  <si>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</si>
  <si>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</si>
  <si>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</si>
  <si>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</si>
  <si>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</si>
  <si>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</si>
  <si>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</si>
  <si>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</si>
  <si>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</si>
  <si>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</si>
  <si>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</si>
  <si>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</si>
  <si>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</si>
  <si>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</si>
  <si>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</si>
  <si>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</si>
  <si>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</si>
  <si>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</si>
  <si>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</si>
  <si>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</si>
  <si>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</si>
  <si>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</si>
  <si>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</si>
  <si>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</si>
  <si>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</si>
  <si>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</si>
  <si>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</si>
  <si>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</si>
  <si>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</si>
  <si>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</si>
  <si>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</si>
  <si>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</si>
  <si>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</si>
  <si>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</si>
  <si>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</si>
  <si>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</si>
  <si>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Balance - December 31, 2019</t>
  </si>
  <si>
    <t>Balance - January 1, 2019</t>
  </si>
  <si>
    <t>Outstanding - January 1, 2019</t>
  </si>
  <si>
    <t>Outstanding - December 31, 2019</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</si>
  <si>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</si>
  <si>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</si>
  <si>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</si>
  <si>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</si>
  <si>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</si>
  <si>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</si>
  <si>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</si>
  <si>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</si>
  <si>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</si>
  <si>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</si>
  <si>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</si>
  <si>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</si>
  <si>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</si>
  <si>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</si>
  <si>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</si>
  <si>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</si>
  <si>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</si>
  <si>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</si>
  <si>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</si>
  <si>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</si>
  <si>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</si>
  <si>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</si>
  <si>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</si>
  <si>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</si>
  <si>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</si>
  <si>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</si>
  <si>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</si>
  <si>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</si>
  <si>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</si>
  <si>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</si>
  <si>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</si>
  <si>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</si>
  <si>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</si>
  <si>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</si>
  <si>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</si>
  <si>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</si>
  <si>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</si>
  <si>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</si>
  <si>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</si>
  <si>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</si>
  <si>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</si>
  <si>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</si>
  <si>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</si>
  <si>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</si>
  <si>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</si>
  <si>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</si>
  <si>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</si>
  <si>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</si>
  <si>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</si>
  <si>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</si>
  <si>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</si>
  <si>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</si>
  <si>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</si>
  <si>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</si>
  <si>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</si>
  <si>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</si>
  <si>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</si>
  <si>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</si>
  <si>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</si>
  <si>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</si>
  <si>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</si>
  <si>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</si>
  <si>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</si>
  <si>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</si>
  <si>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</si>
  <si>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</si>
  <si>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</si>
  <si>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</si>
  <si>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</si>
  <si>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</si>
  <si>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</si>
  <si>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</si>
  <si>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</si>
  <si>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</si>
  <si>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</si>
  <si>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</si>
  <si>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</si>
  <si>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</si>
  <si>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</si>
  <si>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</si>
  <si>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</si>
  <si>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</si>
  <si>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</si>
  <si>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</si>
  <si>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</si>
  <si>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</si>
  <si>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</si>
  <si>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</si>
  <si>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</si>
  <si>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</si>
  <si>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</si>
  <si>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</si>
  <si>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</si>
  <si>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</si>
  <si>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</si>
  <si>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</si>
  <si>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</si>
  <si>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</si>
  <si>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</si>
  <si>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</si>
  <si>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</si>
  <si>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</si>
  <si>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</si>
  <si>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</si>
  <si>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</si>
  <si>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</si>
  <si>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</si>
  <si>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</si>
  <si>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</si>
  <si>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</si>
  <si>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</si>
  <si>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</si>
  <si>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</si>
  <si>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</si>
  <si>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</si>
  <si>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</si>
  <si>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</si>
  <si>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</si>
  <si>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</si>
  <si>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</si>
  <si>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</si>
  <si>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</si>
  <si>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</si>
  <si>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</si>
  <si>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</si>
  <si>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</si>
  <si>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</si>
  <si>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</si>
  <si>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</si>
  <si>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</si>
  <si>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</si>
  <si>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</si>
  <si>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</si>
  <si>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</si>
  <si>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</si>
  <si>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</si>
  <si>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</si>
  <si>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</si>
  <si>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</si>
  <si>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</si>
  <si>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</si>
  <si>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</si>
  <si>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</si>
  <si>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</si>
  <si>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</si>
  <si>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</si>
  <si>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</si>
  <si>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</si>
  <si>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</si>
  <si>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</si>
  <si>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</si>
  <si>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</si>
  <si>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</si>
  <si>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</si>
  <si>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</si>
  <si>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</si>
  <si>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</si>
  <si>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</si>
  <si>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</si>
  <si>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</si>
  <si>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</si>
  <si>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</si>
  <si>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</si>
  <si>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</si>
  <si>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</si>
  <si>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</si>
  <si>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</si>
  <si>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</si>
  <si>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</si>
  <si>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</si>
  <si>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</si>
  <si>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</si>
  <si>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</si>
  <si>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</si>
  <si>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</si>
  <si>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</si>
  <si>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</si>
  <si>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</si>
  <si>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</si>
  <si>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</si>
  <si>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</si>
  <si>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</si>
  <si>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</si>
  <si>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</si>
  <si>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</si>
  <si>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</si>
  <si>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</si>
  <si>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</si>
  <si>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</si>
  <si>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</si>
  <si>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</si>
  <si>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</si>
  <si>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</si>
  <si>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</si>
  <si>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</si>
  <si>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</si>
  <si>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</si>
  <si>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</si>
  <si>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</si>
  <si>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</si>
  <si>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</si>
  <si>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</si>
  <si>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</si>
  <si>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</si>
  <si>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</si>
  <si>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</si>
  <si>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</si>
  <si>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</si>
  <si>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</si>
  <si>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</si>
  <si>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</si>
  <si>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</si>
  <si>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Caldwell Township</t>
  </si>
  <si>
    <t>Caldwell Township, Essex County</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</si>
  <si>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</si>
  <si>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</si>
  <si>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</si>
  <si>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</si>
  <si>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</si>
  <si>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</si>
  <si>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</si>
  <si>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</si>
  <si>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</si>
  <si>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</si>
  <si>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</si>
  <si>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</si>
  <si>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</si>
  <si>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</si>
  <si>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</si>
  <si>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</si>
  <si>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</si>
  <si>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</si>
  <si>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</si>
  <si>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</si>
  <si>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</si>
  <si>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</si>
  <si>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</si>
  <si>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</si>
  <si>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</si>
  <si>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</si>
  <si>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</si>
  <si>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</si>
  <si>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</si>
  <si>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</si>
  <si>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</si>
  <si>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</si>
  <si>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</si>
  <si>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</si>
  <si>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</si>
  <si>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</si>
  <si>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</si>
  <si>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</si>
  <si>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</si>
  <si>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</si>
  <si>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</si>
  <si>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</si>
  <si>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</si>
  <si>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</si>
  <si>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</si>
  <si>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</si>
  <si>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</si>
  <si>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</si>
  <si>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</si>
  <si>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</si>
  <si>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</si>
  <si>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</si>
  <si>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</si>
  <si>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</si>
  <si>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</si>
  <si>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</si>
  <si>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</si>
  <si>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</si>
  <si>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</si>
  <si>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</si>
  <si>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</si>
  <si>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</si>
  <si>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</si>
  <si>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</si>
  <si>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</si>
  <si>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</si>
  <si>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</si>
  <si>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</si>
  <si>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</si>
  <si>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</si>
  <si>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</si>
  <si>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</si>
  <si>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</si>
  <si>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</si>
  <si>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</si>
  <si>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</si>
  <si>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</si>
  <si>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</si>
  <si>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</si>
  <si>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</si>
  <si>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</si>
  <si>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</si>
  <si>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</si>
  <si>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</si>
  <si>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</si>
  <si>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</si>
  <si>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</si>
  <si>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</si>
  <si>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</si>
  <si>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</si>
  <si>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</si>
  <si>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</si>
  <si>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</si>
  <si>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</si>
  <si>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</si>
  <si>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</si>
  <si>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</si>
  <si>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</si>
  <si>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</si>
  <si>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</si>
  <si>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</si>
  <si>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</si>
  <si>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</si>
  <si>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</si>
  <si>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</si>
  <si>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</si>
  <si>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</si>
  <si>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</si>
  <si>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</si>
  <si>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</si>
  <si>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</si>
  <si>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</si>
  <si>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</si>
  <si>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</si>
  <si>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</si>
  <si>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</si>
  <si>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</si>
  <si>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</si>
  <si>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</si>
  <si>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</si>
  <si>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</si>
  <si>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</si>
  <si>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</si>
  <si>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</si>
  <si>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</si>
  <si>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</si>
  <si>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</si>
  <si>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</si>
  <si>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</si>
  <si>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</si>
  <si>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</si>
  <si>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</si>
  <si>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</si>
  <si>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</si>
  <si>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</si>
  <si>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</si>
  <si>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</si>
  <si>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</si>
  <si>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</si>
  <si>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</si>
  <si>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</si>
  <si>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</si>
  <si>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</si>
  <si>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</si>
  <si>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</si>
  <si>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</si>
  <si>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</si>
  <si>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</si>
  <si>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</si>
  <si>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</si>
  <si>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</si>
  <si>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</si>
  <si>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</si>
  <si>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</si>
  <si>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</si>
  <si>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</si>
  <si>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</si>
  <si>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</si>
  <si>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</si>
  <si>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</si>
  <si>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</si>
  <si>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</si>
  <si>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</si>
  <si>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</si>
  <si>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</si>
  <si>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</si>
  <si>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</si>
  <si>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</si>
  <si>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</si>
  <si>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</si>
  <si>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</si>
  <si>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</si>
  <si>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</si>
  <si>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</si>
  <si>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</si>
  <si>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</si>
  <si>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</si>
  <si>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</si>
  <si>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</si>
  <si>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</si>
  <si>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</si>
  <si>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</si>
  <si>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</si>
  <si>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</si>
  <si>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</si>
  <si>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</si>
  <si>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</si>
  <si>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</si>
  <si>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</si>
  <si>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</si>
  <si>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</si>
  <si>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</si>
  <si>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</si>
  <si>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</si>
  <si>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</si>
  <si>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</si>
  <si>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</si>
  <si>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</si>
  <si>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</si>
  <si>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</si>
  <si>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</si>
  <si>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</si>
  <si>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</si>
  <si>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</si>
  <si>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</si>
  <si>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</si>
  <si>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</si>
  <si>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</si>
  <si>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</si>
  <si>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</si>
  <si>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</si>
  <si>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</si>
  <si>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</si>
  <si>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</si>
  <si>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</si>
  <si>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</si>
  <si>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</si>
  <si>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</si>
  <si>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</si>
  <si>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</si>
  <si>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</si>
  <si>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</si>
  <si>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</si>
  <si>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</si>
  <si>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</si>
  <si>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</si>
  <si>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</si>
  <si>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</si>
  <si>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</si>
  <si>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</si>
  <si>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</si>
  <si>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</si>
  <si>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</si>
  <si>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</si>
  <si>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</si>
  <si>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</si>
  <si>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</si>
  <si>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</si>
  <si>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</si>
  <si>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</si>
  <si>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</si>
  <si>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</si>
  <si>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</si>
  <si>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</si>
  <si>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</si>
  <si>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</si>
  <si>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</si>
  <si>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</si>
  <si>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</si>
  <si>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</si>
  <si>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</si>
  <si>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</si>
  <si>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</si>
  <si>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</si>
  <si>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</si>
  <si>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</si>
  <si>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</si>
  <si>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</si>
  <si>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</si>
  <si>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</si>
  <si>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</si>
  <si>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</si>
  <si>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</si>
  <si>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</si>
  <si>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</si>
  <si>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</si>
  <si>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</si>
  <si>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</si>
  <si>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</si>
  <si>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</si>
  <si>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</si>
  <si>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</si>
  <si>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</si>
  <si>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</si>
  <si>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</si>
  <si>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</si>
  <si>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</si>
  <si>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</si>
  <si>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</si>
  <si>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</si>
  <si>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</si>
  <si>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</si>
  <si>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</si>
  <si>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</si>
  <si>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</si>
  <si>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</si>
  <si>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</si>
  <si>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</si>
  <si>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</si>
  <si>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</si>
  <si>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</si>
  <si>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</si>
  <si>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</si>
  <si>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</si>
  <si>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</si>
  <si>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</si>
  <si>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</si>
  <si>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</si>
  <si>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</si>
  <si>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</si>
  <si>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</si>
  <si>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</si>
  <si>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</si>
  <si>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</si>
  <si>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</si>
  <si>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</si>
  <si>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</si>
  <si>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</si>
  <si>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</si>
  <si>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</si>
  <si>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</si>
  <si>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</si>
  <si>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</si>
  <si>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</si>
  <si>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</si>
  <si>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</si>
  <si>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</si>
  <si>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</si>
  <si>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</si>
  <si>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</si>
  <si>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</si>
  <si>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</si>
  <si>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</si>
  <si>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</si>
  <si>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</si>
  <si>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</si>
  <si>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</si>
  <si>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</si>
  <si>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</si>
  <si>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</si>
  <si>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</si>
  <si>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</si>
  <si>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</si>
  <si>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</si>
  <si>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</si>
  <si>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</si>
  <si>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</si>
  <si>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</si>
  <si>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</si>
  <si>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</si>
  <si>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</si>
  <si>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</si>
  <si>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</si>
  <si>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</si>
  <si>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</si>
  <si>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</si>
  <si>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</si>
  <si>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</si>
  <si>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</si>
  <si>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</si>
  <si>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</si>
  <si>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</si>
  <si>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</si>
  <si>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</si>
  <si>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</si>
  <si>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</si>
  <si>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</si>
  <si>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</si>
  <si>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</si>
  <si>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</si>
  <si>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</si>
  <si>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</si>
  <si>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</si>
  <si>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</si>
  <si>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</si>
  <si>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</si>
  <si>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</si>
  <si>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</si>
  <si>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</si>
  <si>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</si>
  <si>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</si>
  <si>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</si>
  <si>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</si>
  <si>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</si>
  <si>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</si>
  <si>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</si>
  <si>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</si>
  <si>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</si>
  <si>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</si>
  <si>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</si>
  <si>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</si>
  <si>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</si>
  <si>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</si>
  <si>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</si>
  <si>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</si>
  <si>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</si>
  <si>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</si>
  <si>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</si>
  <si>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</si>
  <si>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</si>
  <si>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</si>
  <si>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</si>
  <si>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</si>
  <si>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</si>
  <si>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</si>
  <si>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</si>
  <si>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</si>
  <si>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</si>
  <si>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</si>
  <si>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</si>
  <si>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</si>
  <si>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</si>
  <si>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</si>
  <si>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</si>
  <si>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</si>
  <si>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</si>
  <si>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</si>
  <si>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</si>
  <si>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</si>
  <si>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</si>
  <si>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</si>
  <si>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</si>
  <si>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</si>
  <si>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</si>
  <si>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</si>
  <si>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</si>
  <si>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</si>
  <si>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</si>
  <si>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</si>
  <si>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</si>
  <si>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</si>
  <si>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</si>
  <si>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</si>
  <si>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</si>
  <si>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</si>
  <si>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</si>
  <si>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</si>
  <si>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</si>
  <si>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</si>
  <si>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</si>
  <si>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</si>
  <si>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</si>
  <si>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</si>
  <si>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</si>
  <si>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</si>
  <si>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</si>
  <si>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</si>
  <si>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</si>
  <si>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</si>
  <si>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</si>
  <si>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</si>
  <si>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</si>
  <si>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</si>
  <si>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</si>
  <si>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</si>
  <si>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</si>
  <si>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</si>
  <si>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</si>
  <si>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</si>
  <si>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</si>
  <si>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</si>
  <si>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</si>
  <si>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</si>
  <si>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</si>
  <si>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</si>
  <si>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</si>
  <si>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</si>
  <si>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</si>
  <si>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</si>
  <si>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</si>
  <si>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</si>
  <si>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</si>
  <si>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</si>
  <si>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</si>
  <si>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</si>
  <si>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</si>
  <si>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</si>
  <si>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</si>
  <si>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</si>
  <si>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</si>
  <si>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</si>
  <si>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</si>
  <si>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</si>
  <si>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</si>
  <si>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</si>
  <si>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</si>
  <si>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</si>
  <si>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</si>
  <si>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</si>
  <si>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</si>
  <si>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</si>
  <si>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</si>
  <si>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</si>
  <si>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</si>
  <si>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</si>
  <si>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</si>
  <si>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</si>
  <si>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</si>
  <si>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</si>
  <si>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</si>
  <si>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</si>
  <si>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</si>
  <si>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</si>
  <si>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</si>
  <si>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</si>
  <si>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</si>
  <si>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</si>
  <si>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</si>
  <si>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</si>
  <si>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</si>
  <si>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</si>
  <si>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</si>
  <si>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</si>
  <si>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</si>
  <si>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</si>
  <si>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</si>
  <si>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</si>
  <si>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</si>
  <si>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</si>
  <si>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</si>
  <si>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</si>
  <si>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</si>
  <si>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</si>
  <si>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</si>
  <si>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</si>
  <si>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</si>
  <si>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</si>
  <si>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</si>
  <si>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</si>
  <si>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</si>
  <si>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</si>
  <si>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</si>
  <si>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</si>
  <si>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</si>
  <si>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</si>
  <si>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</si>
  <si>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</si>
  <si>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</si>
  <si>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</si>
  <si>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</si>
  <si>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</si>
  <si>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</si>
  <si>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</si>
  <si>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</si>
  <si>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</si>
  <si>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</si>
  <si>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</si>
  <si>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</si>
  <si>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</si>
  <si>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</si>
  <si>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</si>
  <si>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</si>
  <si>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</si>
  <si>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</si>
  <si>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</si>
  <si>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</si>
  <si>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</si>
  <si>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</si>
  <si>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</si>
  <si>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</si>
  <si>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</si>
  <si>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</si>
  <si>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</si>
  <si>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</si>
  <si>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</si>
  <si>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</si>
  <si>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</si>
  <si>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</si>
  <si>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</si>
  <si>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</si>
  <si>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</si>
  <si>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</si>
  <si>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</si>
  <si>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</si>
  <si>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</si>
  <si>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</si>
  <si>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</si>
  <si>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</si>
  <si>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</si>
  <si>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</si>
  <si>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</si>
  <si>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</si>
  <si>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</si>
  <si>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</si>
  <si>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</si>
  <si>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</si>
  <si>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</si>
  <si>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</si>
  <si>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</si>
  <si>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</si>
  <si>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</si>
  <si>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</si>
  <si>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</si>
  <si>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</si>
  <si>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</si>
  <si>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</si>
  <si>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</si>
  <si>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</si>
  <si>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</si>
  <si>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</si>
  <si>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</si>
  <si>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</si>
  <si>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</si>
  <si>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</si>
  <si>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</si>
  <si>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</si>
  <si>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</si>
  <si>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</si>
  <si>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</si>
  <si>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</si>
  <si>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</si>
  <si>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</si>
  <si>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</si>
  <si>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</si>
  <si>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</si>
  <si>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</si>
  <si>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</si>
  <si>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</si>
  <si>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</si>
  <si>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</si>
  <si>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</si>
  <si>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</si>
  <si>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</si>
  <si>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</si>
  <si>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</si>
  <si>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</si>
  <si>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</si>
  <si>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</si>
  <si>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</si>
  <si>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</si>
  <si>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</si>
  <si>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</si>
  <si>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</si>
  <si>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</si>
  <si>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</si>
  <si>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</si>
  <si>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</si>
  <si>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</si>
  <si>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</si>
  <si>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</si>
  <si>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</si>
  <si>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</si>
  <si>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</si>
  <si>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</si>
  <si>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</si>
  <si>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</si>
  <si>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</si>
  <si>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</si>
  <si>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</si>
  <si>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</si>
  <si>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</si>
  <si>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</si>
  <si>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</si>
  <si>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</si>
  <si>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</si>
  <si>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</si>
  <si>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</si>
  <si>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</si>
  <si>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</si>
  <si>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</si>
  <si>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</si>
  <si>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</si>
  <si>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</si>
  <si>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</si>
  <si>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</si>
  <si>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</si>
  <si>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</si>
  <si>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</si>
  <si>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</si>
  <si>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</si>
  <si>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</si>
  <si>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</si>
  <si>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</si>
  <si>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</si>
  <si>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</si>
  <si>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</si>
  <si>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</si>
  <si>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</si>
  <si>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</si>
  <si>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</si>
  <si>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</si>
  <si>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</si>
  <si>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</si>
  <si>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</si>
  <si>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</si>
  <si>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</si>
  <si>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</si>
  <si>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</si>
  <si>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</si>
  <si>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</si>
  <si>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</si>
  <si>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</si>
  <si>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</si>
  <si>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</si>
  <si>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</si>
  <si>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</si>
  <si>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</si>
  <si>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</si>
  <si>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</si>
  <si>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</si>
  <si>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</si>
  <si>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</si>
  <si>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</si>
  <si>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</si>
  <si>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</si>
  <si>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</si>
  <si>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</si>
  <si>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</si>
  <si>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</si>
  <si>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</si>
  <si>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</si>
  <si>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</si>
  <si>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</si>
  <si>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</si>
  <si>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</si>
  <si>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</si>
  <si>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</si>
  <si>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</si>
  <si>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</si>
  <si>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</si>
  <si>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</si>
  <si>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</si>
  <si>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</si>
  <si>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</si>
  <si>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</si>
  <si>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</si>
  <si>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</si>
  <si>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</si>
  <si>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</si>
  <si>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</si>
  <si>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</si>
  <si>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</si>
  <si>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</si>
  <si>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</si>
  <si>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</si>
  <si>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</si>
  <si>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</si>
  <si>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</si>
  <si>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</si>
  <si>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</si>
  <si>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</si>
  <si>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</si>
  <si>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</si>
  <si>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</si>
  <si>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</si>
  <si>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</si>
  <si>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</si>
  <si>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</si>
  <si>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</si>
  <si>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</si>
  <si>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</si>
  <si>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</si>
  <si>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</si>
  <si>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</si>
  <si>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</si>
  <si>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</si>
  <si>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</si>
  <si>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</si>
  <si>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</si>
  <si>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</si>
  <si>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</si>
  <si>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</si>
  <si>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</si>
  <si>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</si>
  <si>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</si>
  <si>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</si>
  <si>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</si>
  <si>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</si>
  <si>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</si>
  <si>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</si>
  <si>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</si>
  <si>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</si>
  <si>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</si>
  <si>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</si>
  <si>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</si>
  <si>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</si>
  <si>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</si>
  <si>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</si>
  <si>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</si>
  <si>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</si>
  <si>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</si>
  <si>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</si>
  <si>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</si>
  <si>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</si>
  <si>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</si>
  <si>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</si>
  <si>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</si>
  <si>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</si>
  <si>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</si>
  <si>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</si>
  <si>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</si>
  <si>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</si>
  <si>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</si>
  <si>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</si>
  <si>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</si>
  <si>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</si>
  <si>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</si>
  <si>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</si>
  <si>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</si>
  <si>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</si>
  <si>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</si>
  <si>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</si>
  <si>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</si>
  <si>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</si>
  <si>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</si>
  <si>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</si>
  <si>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</si>
  <si>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</si>
  <si>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</si>
  <si>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</si>
  <si>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</si>
  <si>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</si>
  <si>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</si>
  <si>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</si>
  <si>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</si>
  <si>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</si>
  <si>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</si>
  <si>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</si>
  <si>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</si>
  <si>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</si>
  <si>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</si>
  <si>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</si>
  <si>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</si>
  <si>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</si>
  <si>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</si>
  <si>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</si>
  <si>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</si>
  <si>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</si>
  <si>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</si>
  <si>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</si>
  <si>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</si>
  <si>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</si>
  <si>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</si>
  <si>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</si>
  <si>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</si>
  <si>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</si>
  <si>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</si>
  <si>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</si>
  <si>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</si>
  <si>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</si>
  <si>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</si>
  <si>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</si>
  <si>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</si>
  <si>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</si>
  <si>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</si>
  <si>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</si>
  <si>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</si>
  <si>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</si>
  <si>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</si>
  <si>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</si>
  <si>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</si>
  <si>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</si>
  <si>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</si>
  <si>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</si>
  <si>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</si>
  <si>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</si>
  <si>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</si>
  <si>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</si>
  <si>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</si>
  <si>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</si>
  <si>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</si>
  <si>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</si>
  <si>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</si>
  <si>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</si>
  <si>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</si>
  <si>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</si>
  <si>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</si>
  <si>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</si>
  <si>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</si>
  <si>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</si>
  <si>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</si>
  <si>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</si>
  <si>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</si>
  <si>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</si>
  <si>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</si>
  <si>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</si>
  <si>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</si>
  <si>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</si>
  <si>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</si>
  <si>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</si>
  <si>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</si>
  <si>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</si>
  <si>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</si>
  <si>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</si>
  <si>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</si>
  <si>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</si>
  <si>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</si>
  <si>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</si>
  <si>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</si>
  <si>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</si>
  <si>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</si>
  <si>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</si>
  <si>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</si>
  <si>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</si>
  <si>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</si>
  <si>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</si>
  <si>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</si>
  <si>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</si>
  <si>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</si>
  <si>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</si>
  <si>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</si>
  <si>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</si>
  <si>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</si>
  <si>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</si>
  <si>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</si>
  <si>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</si>
  <si>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</si>
  <si>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</si>
  <si>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</si>
  <si>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</si>
  <si>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</si>
  <si>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</si>
  <si>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</si>
  <si>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</si>
  <si>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</si>
  <si>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</si>
  <si>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</si>
  <si>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</si>
  <si>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</si>
  <si>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</si>
  <si>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</si>
  <si>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</si>
  <si>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</si>
  <si>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</si>
  <si>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</si>
  <si>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</si>
  <si>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</si>
  <si>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</si>
  <si>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</si>
  <si>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</si>
  <si>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</si>
  <si>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</si>
  <si>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</si>
  <si>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</si>
  <si>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</si>
  <si>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</si>
  <si>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</si>
  <si>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</si>
  <si>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</si>
  <si>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</si>
  <si>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</si>
  <si>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</si>
  <si>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</si>
  <si>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</si>
  <si>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</si>
  <si>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</si>
  <si>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</si>
  <si>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</si>
  <si>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</si>
  <si>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</si>
  <si>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</si>
  <si>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</si>
  <si>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</si>
  <si>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</si>
  <si>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</si>
  <si>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</si>
  <si>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</si>
  <si>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</si>
  <si>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</si>
  <si>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</si>
  <si>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</si>
  <si>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</si>
  <si>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</si>
  <si>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</si>
  <si>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</si>
  <si>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</si>
  <si>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</si>
  <si>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</si>
  <si>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</si>
  <si>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</si>
  <si>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</si>
  <si>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</si>
  <si>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</si>
  <si>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</si>
  <si>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</si>
  <si>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</si>
  <si>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</si>
  <si>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</si>
  <si>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</si>
  <si>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</si>
  <si>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</si>
  <si>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</si>
  <si>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</si>
  <si>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</si>
  <si>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</si>
  <si>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</si>
  <si>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</si>
  <si>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</si>
  <si>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</si>
  <si>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</si>
  <si>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</si>
  <si>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</si>
  <si>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</si>
  <si>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</si>
  <si>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</si>
  <si>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</si>
  <si>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</si>
  <si>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</si>
  <si>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</si>
  <si>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</si>
  <si>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</si>
  <si>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</si>
  <si>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</si>
  <si>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</si>
  <si>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</si>
  <si>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</si>
  <si>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</si>
  <si>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</si>
  <si>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</si>
  <si>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</si>
  <si>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</si>
  <si>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</si>
  <si>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</si>
  <si>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</si>
  <si>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</si>
  <si>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</si>
  <si>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</si>
  <si>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</si>
  <si>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</si>
  <si>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</si>
  <si>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</si>
  <si>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</si>
  <si>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</si>
  <si>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</si>
  <si>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</si>
  <si>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</si>
  <si>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</si>
  <si>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</si>
  <si>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</si>
  <si>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</si>
  <si>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</si>
  <si>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</si>
  <si>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</si>
  <si>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</si>
  <si>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</si>
  <si>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</si>
  <si>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</si>
  <si>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</si>
  <si>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</si>
  <si>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</si>
  <si>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</si>
  <si>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</si>
  <si>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</si>
  <si>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</si>
  <si>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</si>
  <si>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</si>
  <si>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</si>
  <si>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</si>
  <si>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</si>
  <si>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</si>
  <si>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</si>
  <si>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</si>
  <si>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</si>
  <si>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</si>
  <si>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</si>
  <si>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</si>
  <si>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</si>
  <si>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</si>
  <si>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</si>
  <si>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</si>
  <si>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</si>
  <si>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</si>
  <si>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</si>
  <si>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</si>
  <si>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</si>
  <si>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</si>
  <si>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</si>
  <si>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</si>
  <si>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</si>
  <si>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</si>
  <si>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</si>
  <si>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</si>
  <si>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</si>
  <si>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</si>
  <si>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</si>
  <si>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</si>
  <si>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</si>
  <si>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</si>
  <si>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</si>
  <si>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</si>
  <si>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</si>
  <si>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</si>
  <si>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</si>
  <si>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</si>
  <si>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</si>
  <si>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</si>
  <si>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</si>
  <si>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</si>
  <si>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</si>
  <si>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</si>
  <si>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</si>
  <si>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</si>
  <si>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</si>
  <si>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</si>
  <si>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</si>
  <si>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</si>
  <si>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</si>
  <si>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</si>
  <si>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</si>
  <si>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</si>
  <si>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</si>
  <si>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</si>
  <si>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</si>
  <si>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</si>
  <si>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</si>
  <si>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</si>
  <si>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</si>
  <si>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</si>
  <si>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</si>
  <si>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</si>
  <si>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</si>
  <si>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</si>
  <si>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</si>
  <si>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</si>
  <si>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</si>
  <si>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</si>
  <si>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</si>
  <si>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</si>
  <si>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</si>
  <si>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</si>
  <si>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</si>
  <si>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</si>
  <si>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</si>
  <si>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</si>
  <si>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</si>
  <si>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</si>
  <si>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</si>
  <si>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</si>
  <si>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</si>
  <si>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</si>
  <si>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</si>
  <si>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</si>
  <si>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</si>
  <si>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</si>
  <si>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</si>
  <si>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</si>
  <si>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</si>
  <si>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</si>
  <si>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</si>
  <si>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</si>
  <si>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</si>
  <si>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</si>
  <si>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</si>
  <si>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</si>
  <si>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</si>
  <si>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</si>
  <si>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</si>
  <si>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</si>
  <si>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</si>
  <si>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</si>
  <si>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</si>
  <si>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</si>
  <si>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</si>
  <si>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</si>
  <si>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</si>
  <si>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</si>
  <si>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</si>
  <si>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</si>
  <si>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</si>
  <si>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</si>
  <si>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</si>
  <si>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</si>
  <si>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</si>
  <si>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</si>
  <si>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</si>
  <si>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</si>
  <si>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</si>
  <si>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</si>
  <si>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</si>
  <si>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</si>
  <si>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</si>
  <si>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</si>
  <si>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</si>
  <si>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</si>
  <si>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</si>
  <si>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</si>
  <si>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</si>
  <si>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</si>
  <si>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</si>
  <si>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</si>
  <si>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</si>
  <si>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</si>
  <si>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</si>
  <si>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</si>
  <si>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</si>
  <si>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</si>
  <si>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</si>
  <si>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</si>
  <si>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</si>
  <si>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</si>
  <si>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</si>
  <si>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</si>
  <si>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</si>
  <si>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</si>
  <si>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</si>
  <si>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</si>
  <si>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</si>
  <si>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</si>
  <si>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</si>
  <si>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</si>
  <si>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</si>
  <si>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</si>
  <si>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</si>
  <si>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</si>
  <si>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</si>
  <si>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</si>
  <si>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</si>
  <si>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</si>
  <si>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</si>
  <si>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</si>
  <si>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</si>
  <si>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</si>
  <si>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</si>
  <si>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</si>
  <si>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</si>
  <si>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</si>
  <si>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</si>
  <si>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</si>
  <si>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</si>
  <si>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</si>
  <si>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</si>
  <si>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</si>
  <si>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</si>
  <si>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</si>
  <si>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</si>
  <si>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</si>
  <si>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</si>
  <si>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</si>
  <si>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</si>
  <si>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</si>
  <si>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</si>
  <si>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</si>
  <si>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</si>
  <si>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</si>
  <si>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</si>
  <si>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</si>
  <si>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</si>
  <si>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</si>
  <si>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</si>
  <si>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</si>
  <si>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</si>
  <si>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</si>
  <si>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</si>
  <si>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</si>
  <si>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</si>
  <si>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</si>
  <si>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</si>
  <si>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</si>
  <si>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</si>
  <si>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</si>
  <si>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</si>
  <si>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</si>
  <si>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</si>
  <si>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</si>
  <si>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</si>
  <si>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</si>
  <si>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</si>
  <si>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</si>
  <si>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</si>
  <si>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</si>
  <si>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</si>
  <si>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</si>
  <si>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</si>
  <si>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</si>
  <si>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</si>
  <si>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</si>
  <si>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</si>
  <si>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</si>
  <si>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</si>
  <si>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</si>
  <si>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</si>
  <si>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</si>
  <si>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</si>
  <si>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</si>
  <si>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</si>
  <si>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</si>
  <si>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</si>
  <si>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</si>
  <si>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</si>
  <si>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</si>
  <si>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</si>
  <si>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</si>
  <si>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</si>
  <si>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</si>
  <si>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</si>
  <si>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</si>
  <si>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</si>
  <si>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</si>
  <si>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</si>
  <si>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</si>
  <si>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</si>
  <si>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</si>
  <si>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</si>
  <si>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</si>
  <si>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</si>
  <si>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</si>
  <si>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</si>
  <si>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</si>
  <si>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</si>
  <si>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</si>
  <si>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</si>
  <si>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</si>
  <si>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</si>
  <si>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</si>
  <si>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</si>
  <si>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</si>
  <si>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</si>
  <si>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</si>
  <si>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</si>
  <si>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</si>
  <si>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</si>
  <si>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</si>
  <si>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</si>
  <si>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</si>
  <si>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</si>
  <si>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</si>
  <si>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</si>
  <si>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</si>
  <si>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</si>
  <si>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</si>
  <si>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</si>
  <si>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</si>
  <si>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</si>
  <si>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</si>
  <si>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</si>
  <si>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</si>
  <si>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</si>
  <si>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</si>
  <si>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</si>
  <si>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</si>
  <si>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</si>
  <si>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</si>
  <si>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</si>
  <si>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</si>
  <si>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</si>
  <si>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</si>
  <si>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</si>
  <si>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</si>
  <si>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</si>
  <si>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</si>
  <si>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</si>
  <si>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</si>
  <si>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</si>
  <si>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</si>
  <si>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</si>
  <si>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</si>
  <si>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</si>
  <si>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</si>
  <si>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</si>
  <si>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</si>
  <si>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</si>
  <si>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</si>
  <si>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</si>
  <si>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</si>
  <si>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</si>
  <si>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</si>
  <si>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</si>
  <si>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</si>
  <si>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</si>
  <si>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</si>
  <si>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</si>
  <si>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</si>
  <si>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</si>
  <si>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</si>
  <si>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</si>
  <si>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</si>
  <si>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</si>
  <si>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</si>
  <si>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</si>
  <si>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</si>
  <si>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</si>
  <si>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</si>
  <si>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</si>
  <si>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</si>
  <si>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</si>
  <si>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</si>
  <si>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</si>
  <si>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</si>
  <si>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</si>
  <si>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</si>
  <si>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</si>
  <si>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</si>
  <si>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</si>
  <si>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</si>
  <si>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</si>
  <si>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</si>
  <si>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</si>
  <si>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</si>
  <si>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</si>
  <si>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</si>
  <si>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</si>
  <si>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</si>
  <si>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</si>
  <si>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</si>
  <si>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</si>
  <si>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</si>
  <si>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</si>
  <si>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</si>
  <si>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</si>
  <si>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</si>
  <si>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</si>
  <si>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</si>
  <si>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</si>
  <si>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</si>
  <si>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</si>
  <si>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</si>
  <si>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</si>
  <si>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</si>
  <si>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</si>
  <si>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</si>
  <si>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</si>
  <si>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</si>
  <si>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</si>
  <si>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</si>
  <si>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</si>
  <si>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</si>
  <si>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</si>
  <si>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</si>
  <si>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</si>
  <si>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</si>
  <si>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</si>
  <si>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</si>
  <si>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</si>
  <si>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</si>
  <si>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</si>
  <si>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</si>
  <si>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</si>
  <si>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</si>
  <si>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</si>
  <si>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</si>
  <si>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</si>
  <si>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</si>
  <si>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</si>
  <si>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</si>
  <si>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</si>
  <si>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</si>
  <si>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</si>
  <si>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</si>
  <si>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</si>
  <si>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</si>
  <si>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</si>
  <si>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</si>
  <si>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</si>
  <si>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</si>
  <si>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</si>
  <si>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</si>
  <si>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</si>
  <si>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</si>
  <si>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</si>
  <si>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</si>
  <si>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</si>
  <si>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</si>
  <si>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</si>
  <si>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</si>
  <si>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</si>
  <si>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</si>
  <si>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</si>
  <si>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</si>
  <si>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</si>
  <si>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</si>
  <si>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</si>
  <si>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</si>
  <si>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</si>
  <si>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</si>
  <si>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</si>
  <si>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</si>
  <si>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</si>
  <si>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</si>
  <si>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</si>
  <si>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</si>
  <si>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</si>
  <si>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</si>
  <si>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</si>
  <si>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</si>
  <si>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</si>
  <si>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</si>
  <si>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</si>
  <si>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</si>
  <si>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</si>
  <si>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</si>
  <si>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</si>
  <si>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</si>
  <si>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</si>
  <si>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</si>
  <si>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</si>
  <si>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</si>
  <si>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</si>
  <si>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</si>
  <si>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</si>
  <si>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</si>
  <si>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</si>
  <si>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</si>
  <si>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</si>
  <si>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</si>
  <si>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</si>
  <si>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</si>
  <si>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</si>
  <si>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</si>
  <si>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</si>
  <si>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</si>
  <si>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</si>
  <si>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</si>
  <si>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</si>
  <si>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</si>
  <si>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</si>
  <si>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</si>
  <si>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</si>
  <si>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</si>
  <si>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</si>
  <si>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</si>
  <si>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</si>
  <si>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</si>
  <si>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</si>
  <si>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</si>
  <si>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</si>
  <si>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</si>
  <si>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</si>
  <si>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</si>
  <si>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</si>
  <si>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</si>
  <si>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</si>
  <si>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</si>
  <si>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</si>
  <si>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</si>
  <si>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</si>
  <si>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</si>
  <si>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</si>
  <si>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</si>
  <si>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</si>
  <si>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</si>
  <si>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</si>
  <si>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</si>
  <si>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</si>
  <si>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</si>
  <si>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</si>
  <si>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</si>
  <si>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</si>
  <si>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</si>
  <si>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</si>
  <si>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</si>
  <si>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</si>
  <si>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</si>
  <si>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</si>
  <si>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</si>
  <si>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</si>
  <si>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</si>
  <si>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</si>
  <si>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</si>
  <si>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</si>
  <si>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</si>
  <si>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</si>
  <si>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</si>
  <si>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</si>
  <si>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</si>
  <si>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</si>
  <si>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</si>
  <si>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</si>
  <si>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</si>
  <si>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</si>
  <si>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</si>
  <si>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</si>
  <si>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</si>
  <si>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</si>
  <si>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</si>
  <si>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</si>
  <si>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</si>
  <si>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</si>
  <si>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</si>
  <si>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</si>
  <si>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</si>
  <si>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</si>
  <si>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</si>
  <si>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</si>
  <si>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</si>
  <si>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</si>
  <si>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</si>
  <si>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</si>
  <si>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</si>
  <si>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</si>
  <si>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</si>
  <si>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</si>
  <si>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</si>
  <si>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</si>
  <si>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</si>
  <si>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</si>
  <si>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</si>
  <si>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</si>
  <si>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</si>
  <si>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</si>
  <si>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</si>
  <si>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</si>
  <si>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</si>
  <si>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</si>
  <si>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</si>
  <si>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</si>
  <si>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</si>
  <si>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</si>
  <si>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</si>
  <si>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</si>
  <si>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</si>
  <si>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</si>
  <si>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</si>
  <si>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</si>
  <si>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</si>
  <si>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</si>
  <si>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</si>
  <si>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</si>
  <si>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</si>
  <si>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</si>
  <si>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</si>
  <si>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</si>
  <si>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</si>
  <si>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</si>
  <si>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</si>
  <si>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</si>
  <si>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</si>
  <si>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</si>
  <si>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</si>
  <si>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</si>
  <si>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</si>
  <si>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</si>
  <si>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</si>
  <si>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</si>
  <si>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</si>
  <si>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</si>
  <si>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</si>
  <si>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</si>
  <si>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</si>
  <si>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</si>
  <si>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</si>
  <si>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</si>
  <si>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</si>
  <si>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</si>
  <si>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</si>
  <si>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</si>
  <si>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</si>
  <si>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</si>
  <si>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</si>
  <si>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</si>
  <si>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</si>
  <si>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</si>
  <si>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</si>
  <si>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</si>
  <si>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</si>
  <si>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</si>
  <si>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</si>
  <si>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</si>
  <si>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</si>
  <si>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</si>
  <si>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</si>
  <si>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</si>
  <si>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</si>
  <si>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</si>
  <si>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</si>
  <si>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</si>
  <si>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</si>
  <si>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</si>
  <si>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</si>
  <si>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</si>
  <si>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</si>
  <si>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</si>
  <si>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</si>
  <si>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</si>
  <si>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</si>
  <si>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</si>
  <si>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</si>
  <si>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</si>
  <si>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</si>
  <si>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</si>
  <si>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</si>
  <si>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</si>
  <si>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</si>
  <si>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</si>
  <si>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</si>
  <si>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</si>
  <si>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</si>
  <si>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</si>
  <si>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</si>
  <si>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</si>
  <si>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</si>
  <si>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</si>
  <si>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</si>
  <si>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</si>
  <si>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</si>
  <si>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</si>
  <si>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</si>
  <si>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</si>
  <si>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</si>
  <si>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</si>
  <si>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</si>
  <si>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</si>
  <si>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</si>
  <si>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</si>
  <si>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</si>
  <si>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</si>
  <si>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</si>
  <si>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</si>
  <si>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</si>
  <si>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</si>
  <si>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</si>
  <si>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</si>
  <si>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</si>
  <si>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</si>
  <si>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</si>
  <si>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</si>
  <si>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</si>
  <si>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</si>
  <si>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</si>
  <si>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</si>
  <si>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</si>
  <si>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</si>
  <si>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</si>
  <si>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</si>
  <si>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</si>
  <si>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</si>
  <si>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</si>
  <si>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</si>
  <si>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</si>
  <si>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</si>
  <si>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</si>
  <si>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</si>
  <si>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</si>
  <si>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</si>
  <si>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</si>
  <si>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</si>
  <si>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</si>
  <si>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</si>
  <si>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</si>
  <si>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</si>
  <si>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</si>
  <si>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</si>
  <si>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</si>
  <si>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</si>
  <si>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</si>
  <si>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</si>
  <si>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</si>
  <si>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</si>
  <si>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</si>
  <si>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</si>
  <si>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</si>
  <si>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</si>
  <si>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</si>
  <si>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</si>
  <si>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</si>
  <si>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</si>
  <si>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</si>
  <si>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</si>
  <si>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</si>
  <si>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</si>
  <si>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</si>
  <si>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</si>
  <si>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</si>
  <si>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</si>
  <si>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</si>
  <si>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</si>
  <si>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</si>
  <si>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</si>
  <si>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</si>
  <si>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</si>
  <si>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</si>
  <si>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</si>
  <si>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</si>
  <si>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</si>
  <si>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</si>
  <si>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</si>
  <si>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</si>
  <si>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</si>
  <si>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</si>
  <si>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</si>
  <si>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</si>
  <si>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</si>
  <si>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</si>
  <si>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</si>
  <si>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</si>
  <si>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</si>
  <si>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</si>
  <si>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</si>
  <si>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</si>
  <si>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</si>
  <si>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</si>
  <si>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</si>
  <si>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</si>
  <si>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</si>
  <si>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</si>
  <si>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</si>
  <si>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</si>
  <si>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</si>
  <si>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</si>
  <si>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</si>
  <si>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</si>
  <si>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</si>
  <si>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</si>
  <si>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</si>
  <si>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</si>
  <si>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</si>
  <si>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</si>
  <si>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</si>
  <si>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</si>
  <si>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</si>
  <si>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</si>
  <si>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</si>
  <si>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</si>
  <si>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</si>
  <si>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</si>
  <si>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</si>
  <si>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</si>
  <si>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</si>
  <si>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</si>
  <si>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</si>
  <si>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</si>
  <si>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</si>
  <si>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</si>
  <si>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</si>
  <si>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</si>
  <si>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</si>
  <si>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</si>
  <si>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</si>
  <si>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</si>
  <si>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</si>
  <si>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</si>
  <si>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</si>
  <si>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</si>
  <si>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</si>
  <si>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</si>
  <si>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</si>
  <si>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</si>
  <si>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</si>
  <si>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</si>
  <si>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</si>
  <si>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</si>
  <si>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</si>
  <si>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</si>
  <si>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</si>
  <si>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</si>
  <si>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</si>
  <si>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</si>
  <si>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</si>
  <si>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</si>
  <si>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</si>
  <si>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</si>
  <si>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</si>
  <si>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</si>
  <si>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</si>
  <si>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</si>
  <si>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</si>
  <si>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</si>
  <si>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</si>
  <si>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</si>
  <si>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</si>
  <si>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</si>
  <si>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</si>
  <si>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</si>
  <si>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</si>
  <si>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</si>
  <si>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</si>
  <si>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</si>
  <si>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</si>
  <si>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</si>
  <si>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</si>
  <si>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</si>
  <si>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</si>
  <si>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</si>
  <si>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</si>
  <si>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</si>
  <si>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</si>
  <si>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</si>
  <si>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</si>
  <si>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</si>
  <si>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</si>
  <si>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</si>
  <si>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</si>
  <si>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</si>
  <si>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</si>
  <si>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</si>
  <si>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</si>
  <si>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</si>
  <si>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</si>
  <si>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</si>
  <si>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</si>
  <si>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</si>
  <si>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</si>
  <si>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</si>
  <si>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</si>
  <si>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</si>
  <si>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</si>
  <si>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</si>
  <si>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</si>
  <si>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</si>
  <si>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</si>
  <si>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</si>
  <si>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</si>
  <si>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</si>
  <si>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</si>
  <si>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</si>
  <si>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</si>
  <si>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</si>
  <si>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</si>
  <si>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</si>
  <si>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</si>
  <si>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</si>
  <si>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</si>
  <si>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</si>
  <si>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</si>
  <si>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</si>
  <si>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</si>
  <si>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</si>
  <si>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</si>
  <si>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</si>
  <si>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</si>
  <si>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</si>
  <si>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</si>
  <si>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</si>
  <si>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</si>
  <si>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</si>
  <si>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</si>
  <si>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</si>
  <si>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</si>
  <si>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</si>
  <si>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</si>
  <si>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</si>
  <si>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</si>
  <si>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</si>
  <si>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</si>
  <si>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</si>
  <si>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</si>
  <si>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</si>
  <si>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</si>
  <si>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</si>
  <si>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</si>
  <si>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</si>
  <si>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</si>
  <si>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</si>
  <si>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</si>
  <si>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</si>
  <si>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</si>
  <si>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</si>
  <si>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</si>
  <si>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</si>
  <si>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</si>
  <si>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</si>
  <si>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</si>
  <si>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</si>
  <si>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</si>
  <si>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</si>
  <si>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</si>
  <si>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</si>
  <si>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</si>
  <si>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</si>
  <si>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</si>
  <si>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</si>
  <si>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</si>
  <si>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</si>
  <si>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</si>
  <si>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</si>
  <si>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</si>
  <si>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</si>
  <si>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</si>
  <si>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</si>
  <si>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</si>
  <si>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</si>
  <si>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</si>
  <si>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</si>
  <si>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</si>
  <si>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</si>
  <si>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</si>
  <si>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</si>
  <si>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</si>
  <si>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</si>
  <si>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</si>
  <si>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</si>
  <si>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</si>
  <si>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</si>
  <si>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</si>
  <si>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</si>
  <si>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</si>
  <si>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</si>
  <si>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</si>
  <si>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</si>
  <si>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</si>
  <si>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</si>
  <si>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</si>
  <si>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</si>
  <si>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</si>
  <si>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</si>
  <si>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</si>
  <si>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</si>
  <si>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</si>
  <si>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</si>
  <si>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</si>
  <si>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</si>
  <si>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</si>
  <si>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</si>
  <si>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</si>
  <si>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</si>
  <si>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</si>
  <si>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</si>
  <si>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</si>
  <si>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</si>
  <si>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</si>
  <si>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</si>
  <si>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</si>
  <si>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</si>
  <si>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</si>
  <si>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</si>
  <si>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</si>
  <si>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</si>
  <si>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</si>
  <si>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</si>
  <si>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</si>
  <si>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</si>
  <si>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</si>
  <si>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</si>
  <si>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</si>
  <si>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</si>
  <si>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</si>
  <si>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</si>
  <si>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</si>
  <si>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</si>
  <si>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</si>
  <si>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</si>
  <si>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</si>
  <si>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</si>
  <si>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</si>
  <si>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</si>
  <si>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</si>
  <si>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</si>
  <si>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</si>
  <si>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</si>
  <si>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</si>
  <si>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</si>
  <si>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</si>
  <si>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</si>
  <si>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</si>
  <si>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</si>
  <si>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</si>
  <si>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</si>
  <si>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</si>
  <si>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</si>
  <si>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</si>
  <si>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</si>
  <si>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</si>
  <si>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</si>
  <si>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</si>
  <si>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</si>
  <si>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</si>
  <si>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</si>
  <si>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</si>
  <si>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</si>
  <si>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</si>
  <si>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</si>
  <si>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</si>
  <si>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</si>
  <si>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</si>
  <si>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</si>
  <si>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</si>
  <si>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</si>
  <si>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</si>
  <si>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</si>
  <si>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</si>
  <si>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</si>
  <si>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</si>
  <si>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</si>
  <si>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</si>
  <si>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</si>
  <si>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</si>
  <si>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</si>
  <si>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</si>
  <si>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</si>
  <si>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</si>
  <si>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</si>
  <si>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</si>
  <si>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</si>
  <si>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</si>
  <si>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</si>
  <si>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</si>
  <si>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</si>
  <si>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</si>
  <si>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</si>
  <si>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</si>
  <si>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</si>
  <si>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</si>
  <si>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</si>
  <si>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</si>
  <si>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</si>
  <si>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</si>
  <si>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</si>
  <si>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</si>
  <si>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</si>
  <si>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</si>
  <si>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</si>
  <si>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</si>
  <si>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</si>
  <si>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</si>
  <si>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</si>
  <si>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</si>
  <si>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</si>
  <si>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</si>
  <si>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</si>
  <si>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</si>
  <si>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</si>
  <si>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</si>
  <si>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</si>
  <si>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</si>
  <si>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</si>
  <si>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</si>
  <si>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TAX OVERPAYMENTS</t>
  </si>
  <si>
    <t>PREPAID TAXES</t>
  </si>
  <si>
    <t>DUE TO STATE:</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</si>
  <si>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</si>
  <si>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</si>
  <si>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</si>
  <si>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</si>
  <si>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</si>
  <si>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</si>
  <si>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</si>
  <si>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</si>
  <si>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</si>
  <si>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</si>
  <si>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</si>
  <si>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</si>
  <si>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</si>
  <si>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</si>
  <si>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</si>
  <si>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</si>
  <si>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</si>
  <si>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</si>
  <si>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</si>
  <si>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</si>
  <si>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</si>
  <si>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</si>
  <si>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</si>
  <si>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</si>
  <si>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</si>
  <si>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LOCAL SCHOOL TAX PAYABLE</t>
  </si>
  <si>
    <t>REGIONAL SCHOOL TAX PAYABLE</t>
  </si>
  <si>
    <t>REGIONAL H.S.TAX PAYABLE</t>
  </si>
  <si>
    <t>DUE COUNTY - ADDED &amp; OMMITTED</t>
  </si>
  <si>
    <t>SPECIAL DISTRICT TAX PAYABLE</t>
  </si>
  <si>
    <t>RESERVE FOR TAX APPEAL</t>
  </si>
  <si>
    <t>DOG TRUST FUND</t>
  </si>
  <si>
    <t>DUE TO STATE OF NJ</t>
  </si>
  <si>
    <t>FUND TOTALS</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</si>
  <si>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</si>
  <si>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</si>
  <si>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</si>
  <si>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</si>
  <si>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</si>
  <si>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</si>
  <si>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</si>
  <si>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</si>
  <si>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</si>
  <si>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</si>
  <si>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</si>
  <si>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</si>
  <si>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</si>
  <si>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</si>
  <si>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</si>
  <si>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</si>
  <si>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</si>
  <si>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</si>
  <si>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</si>
  <si>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</si>
  <si>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</si>
  <si>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</si>
  <si>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</si>
  <si>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</si>
  <si>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</si>
  <si>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</si>
  <si>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</si>
  <si>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</si>
  <si>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</si>
  <si>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</si>
  <si>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</si>
  <si>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</si>
  <si>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</si>
  <si>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</si>
  <si>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</si>
  <si>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</si>
  <si>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</si>
  <si>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</si>
  <si>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</si>
  <si>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</si>
  <si>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</si>
  <si>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</si>
  <si>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</si>
  <si>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</si>
  <si>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</si>
  <si>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</si>
  <si>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</si>
  <si>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</si>
  <si>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</si>
  <si>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</si>
  <si>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</si>
  <si>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</si>
  <si>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</si>
  <si>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</si>
  <si>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</si>
  <si>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</si>
  <si>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</si>
  <si>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</si>
  <si>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</si>
  <si>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</si>
  <si>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</si>
  <si>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</si>
  <si>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</si>
  <si>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</si>
  <si>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</si>
  <si>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</si>
  <si>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</si>
  <si>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</si>
  <si>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</si>
  <si>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</si>
  <si>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</si>
  <si>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</si>
  <si>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</si>
  <si>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</si>
  <si>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</si>
  <si>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</si>
  <si>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</si>
  <si>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</si>
  <si>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</si>
  <si>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</si>
  <si>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</si>
  <si>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</si>
  <si>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</si>
  <si>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</si>
  <si>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</si>
  <si>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</si>
  <si>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</si>
  <si>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</si>
  <si>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</si>
  <si>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</si>
  <si>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</si>
  <si>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</si>
  <si>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</si>
  <si>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</si>
  <si>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</si>
  <si>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</si>
  <si>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</si>
  <si>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</si>
  <si>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</si>
  <si>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</si>
  <si>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</si>
  <si>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</si>
  <si>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</si>
  <si>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</si>
  <si>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</si>
  <si>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</si>
  <si>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</si>
  <si>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</si>
  <si>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</si>
  <si>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</si>
  <si>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</si>
  <si>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</si>
  <si>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</si>
  <si>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</si>
  <si>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</si>
  <si>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</si>
  <si>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</si>
  <si>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</si>
  <si>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</si>
  <si>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</si>
  <si>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</si>
  <si>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</si>
  <si>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</si>
  <si>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Sheet  35a.Totals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</si>
  <si>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</si>
  <si>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</si>
  <si>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</si>
  <si>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</si>
  <si>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</si>
  <si>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</si>
  <si>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</si>
  <si>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</si>
  <si>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</si>
  <si>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</si>
  <si>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</si>
  <si>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</si>
  <si>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</si>
  <si>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</si>
  <si>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</si>
  <si>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</si>
  <si>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</si>
  <si>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</si>
  <si>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</si>
  <si>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</si>
  <si>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</si>
  <si>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</si>
  <si>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</si>
  <si>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</si>
  <si>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</si>
  <si>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</si>
  <si>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</si>
  <si>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</si>
  <si>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</si>
  <si>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</si>
  <si>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</si>
  <si>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</si>
  <si>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</si>
  <si>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</si>
  <si>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</si>
  <si>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</si>
  <si>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</si>
  <si>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</si>
  <si>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</si>
  <si>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</si>
  <si>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</si>
  <si>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</si>
  <si>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</si>
  <si>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</si>
  <si>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</si>
  <si>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</si>
  <si>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</si>
  <si>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</si>
  <si>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</si>
  <si>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</si>
  <si>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</si>
  <si>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</si>
  <si>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</si>
  <si>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</si>
  <si>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</si>
  <si>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</si>
  <si>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</si>
  <si>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</si>
  <si>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</si>
  <si>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</si>
  <si>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</si>
  <si>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</si>
  <si>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</si>
  <si>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</si>
  <si>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</si>
  <si>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</si>
  <si>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</si>
  <si>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</si>
  <si>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</si>
  <si>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</si>
  <si>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</si>
  <si>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</si>
  <si>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</si>
  <si>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</si>
  <si>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</si>
  <si>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</si>
  <si>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</si>
  <si>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</si>
  <si>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</si>
  <si>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</si>
  <si>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</si>
  <si>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</si>
  <si>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</si>
  <si>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</si>
  <si>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</si>
  <si>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</si>
  <si>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</si>
  <si>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</si>
  <si>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</si>
  <si>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</si>
  <si>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</si>
  <si>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</si>
  <si>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</si>
  <si>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</si>
  <si>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</si>
  <si>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</si>
  <si>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</si>
  <si>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</si>
  <si>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</si>
  <si>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</si>
  <si>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</si>
  <si>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</si>
  <si>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</si>
  <si>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</si>
  <si>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</si>
  <si>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</si>
  <si>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</si>
  <si>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</si>
  <si>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</si>
  <si>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</si>
  <si>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</si>
  <si>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</si>
  <si>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</si>
  <si>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</si>
  <si>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</si>
  <si>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</si>
  <si>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</si>
  <si>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</si>
  <si>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</si>
  <si>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</si>
  <si>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</si>
  <si>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</si>
  <si>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</si>
  <si>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</si>
  <si>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</si>
  <si>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</si>
  <si>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</si>
  <si>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</si>
  <si>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</si>
  <si>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</si>
  <si>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</si>
  <si>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</si>
  <si>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</si>
  <si>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</si>
  <si>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</si>
  <si>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</si>
  <si>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</si>
  <si>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</si>
  <si>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</si>
  <si>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</si>
  <si>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</si>
  <si>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</si>
  <si>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</si>
  <si>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</si>
  <si>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</si>
  <si>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</si>
  <si>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</si>
  <si>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</si>
  <si>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</si>
  <si>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</si>
  <si>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</si>
  <si>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</si>
  <si>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</si>
  <si>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</si>
  <si>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</si>
  <si>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</si>
  <si>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</si>
  <si>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</si>
  <si>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</si>
  <si>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</si>
  <si>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</si>
  <si>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22-6002288</t>
  </si>
  <si>
    <t>Water</t>
  </si>
  <si>
    <t>Amboy National</t>
  </si>
  <si>
    <t>Columbia Bnak</t>
  </si>
  <si>
    <t>NY Community Bank</t>
  </si>
  <si>
    <t>Northfield Bank</t>
  </si>
  <si>
    <t>Provident Bank</t>
  </si>
  <si>
    <t>TD Bank</t>
  </si>
  <si>
    <t>Investment S.L.G.S.</t>
  </si>
  <si>
    <t>Water Operating</t>
  </si>
  <si>
    <t>Water Capital</t>
  </si>
  <si>
    <t>Trust - Unemployment</t>
  </si>
  <si>
    <t>Premium on Sale of Notes</t>
  </si>
  <si>
    <t>453-19</t>
  </si>
  <si>
    <t>456-19</t>
  </si>
  <si>
    <t>457-19</t>
  </si>
  <si>
    <t>460-19</t>
  </si>
  <si>
    <t>461-19</t>
  </si>
  <si>
    <t>462-19</t>
  </si>
  <si>
    <t>A</t>
  </si>
  <si>
    <t>B</t>
  </si>
  <si>
    <t>A - Downpayment includes $401,350 from NJ DOT Grant</t>
  </si>
  <si>
    <t>B - Downpayment includes $575,000 from DOT Grant</t>
  </si>
  <si>
    <t>Landfill III</t>
  </si>
  <si>
    <t>Main Street by-pass</t>
  </si>
  <si>
    <t>Various improvements</t>
  </si>
  <si>
    <t>Road Improvements</t>
  </si>
  <si>
    <t>Crossman Pump Station</t>
  </si>
  <si>
    <t>Vehicles and equipment</t>
  </si>
  <si>
    <t>Various road improvements</t>
  </si>
  <si>
    <t>Underground storage tank replacement</t>
  </si>
  <si>
    <t>Vehicles and improvements</t>
  </si>
  <si>
    <t>Various park improvements</t>
  </si>
  <si>
    <t>Lee Avenue drainage improvements</t>
  </si>
  <si>
    <t>Washington &amp; McArthur Ave. improvements</t>
  </si>
  <si>
    <t>488-97</t>
  </si>
  <si>
    <t>1-07</t>
  </si>
  <si>
    <t>168-11</t>
  </si>
  <si>
    <t>195-12</t>
  </si>
  <si>
    <t>210-13</t>
  </si>
  <si>
    <t>224-13</t>
  </si>
  <si>
    <t>225-13</t>
  </si>
  <si>
    <t>233-13</t>
  </si>
  <si>
    <t>249-14</t>
  </si>
  <si>
    <t>263-14</t>
  </si>
  <si>
    <t>264-14</t>
  </si>
  <si>
    <t>265-14</t>
  </si>
  <si>
    <t>287-15</t>
  </si>
  <si>
    <t>290-15</t>
  </si>
  <si>
    <t>291-15</t>
  </si>
  <si>
    <t>292-15</t>
  </si>
  <si>
    <t>297-15</t>
  </si>
  <si>
    <t>305-15</t>
  </si>
  <si>
    <t>Various Vehicles and Equipment</t>
  </si>
  <si>
    <t>Various Improvements</t>
  </si>
  <si>
    <t>Various Park Improvements</t>
  </si>
  <si>
    <t>2016 Communication System</t>
  </si>
  <si>
    <t>Winding Wood Wastewater Pump Station</t>
  </si>
  <si>
    <t>Various Road Improvements</t>
  </si>
  <si>
    <t>Pulaski Avenue improvements</t>
  </si>
  <si>
    <t>Turf Field construction</t>
  </si>
  <si>
    <t>Vehicles and Equipment</t>
  </si>
  <si>
    <t>332-16</t>
  </si>
  <si>
    <t>333-16</t>
  </si>
  <si>
    <t>334-16</t>
  </si>
  <si>
    <t>336-16, 345-16</t>
  </si>
  <si>
    <t>337-16</t>
  </si>
  <si>
    <t>343-16</t>
  </si>
  <si>
    <t>368-17</t>
  </si>
  <si>
    <t>369-17</t>
  </si>
  <si>
    <t>370-17</t>
  </si>
  <si>
    <t>372-17</t>
  </si>
  <si>
    <t>376-17</t>
  </si>
  <si>
    <t>383-17</t>
  </si>
  <si>
    <t>398-18</t>
  </si>
  <si>
    <t>409-18</t>
  </si>
  <si>
    <t>419-18</t>
  </si>
  <si>
    <t>Hercules Village Sewer Improvements</t>
  </si>
  <si>
    <t>Various Road and Sidewalk Improvements</t>
  </si>
  <si>
    <t>Various Roadway paving and Reconstruction Projects</t>
  </si>
  <si>
    <t>Acquisition of Vehicles and Equipment</t>
  </si>
  <si>
    <t>Remediation of Soil and Groundwater at Former First Aid Squad Site</t>
  </si>
  <si>
    <t>Various Capital Improvements</t>
  </si>
  <si>
    <t>420-18</t>
  </si>
  <si>
    <t>422-18</t>
  </si>
  <si>
    <t>427-18</t>
  </si>
  <si>
    <t xml:space="preserve">OVEREXPENDITURE OF ORDINANCE </t>
  </si>
  <si>
    <t>Installation of Emergency Generator</t>
  </si>
  <si>
    <t>291-15 Various improvements</t>
  </si>
  <si>
    <t>372-17 Various Road Improvements</t>
  </si>
  <si>
    <t>338-16 Installation of Emergency Generator</t>
  </si>
  <si>
    <t>398-18 Various Road Improvements</t>
  </si>
  <si>
    <t>409-18 Vehicles and Equipment</t>
  </si>
  <si>
    <t>419-18 Various Park Improvements</t>
  </si>
  <si>
    <t>420-18 Various Improvements</t>
  </si>
  <si>
    <t>422-18 Hercules Village Sewer Improvements</t>
  </si>
  <si>
    <t>RESERVE FOR FUTURE IMPROVEMENTS</t>
  </si>
  <si>
    <t>RESERVE FOR GRANTS RECEIVABLE</t>
  </si>
  <si>
    <t>Municipal Alliance on Alcoholism and Drug Abuse</t>
  </si>
  <si>
    <t>Occupant Restraint Program</t>
  </si>
  <si>
    <t>Water Treatment Grant</t>
  </si>
  <si>
    <t>Safe Housing Grant</t>
  </si>
  <si>
    <t>Recycling Tonnage</t>
  </si>
  <si>
    <t>Body Armor Grant</t>
  </si>
  <si>
    <t>Middlesex County Recycling Grant</t>
  </si>
  <si>
    <t>Clean Communities Program</t>
  </si>
  <si>
    <t>Safe and Secure Community Program</t>
  </si>
  <si>
    <t>Drive Sober or Get Pulled Over</t>
  </si>
  <si>
    <t>NJDOT Safe Drivers</t>
  </si>
  <si>
    <t>NJDOT Safe Corridors</t>
  </si>
  <si>
    <t>U.S. Bullet Proof Vest Grant</t>
  </si>
  <si>
    <t>Emergency Management Assistance Grant</t>
  </si>
  <si>
    <t>Justice Assistance Grant</t>
  </si>
  <si>
    <t>Quality of Life Grant</t>
  </si>
  <si>
    <t>Safe Housing Program</t>
  </si>
  <si>
    <t>Alcohol Education and Rehabilitation</t>
  </si>
  <si>
    <t>Drunk Driving Enforcement Fund</t>
  </si>
  <si>
    <t>Drive Sober or get Pulled over</t>
  </si>
  <si>
    <t>Recycling Tonnage Grant</t>
  </si>
  <si>
    <t>Clean Communities Grant</t>
  </si>
  <si>
    <t>Municipal Alliance Grant</t>
  </si>
  <si>
    <t>COPS Fast</t>
  </si>
  <si>
    <t>Safe Drivers Grant</t>
  </si>
  <si>
    <t>Various Library Grants</t>
  </si>
  <si>
    <t>Occupant Protection Grant</t>
  </si>
  <si>
    <t>Robin Hood Grant</t>
  </si>
  <si>
    <t>Middlesex County Recycling Enhancement Grant</t>
  </si>
  <si>
    <t xml:space="preserve">Enhanced 911 Grant - Equipment </t>
  </si>
  <si>
    <t>and General Assistance</t>
  </si>
  <si>
    <t>Safe and Secure Grant</t>
  </si>
  <si>
    <t>N.J. Comm Forestry Management Grant</t>
  </si>
  <si>
    <t>Recreational Trails Program</t>
  </si>
  <si>
    <t>CERT Equipment Grant</t>
  </si>
  <si>
    <t>INTERFUND RECEIVABLE - CURRENT FUND</t>
  </si>
  <si>
    <t>447-19 - Supplment ordinance 423.18</t>
  </si>
  <si>
    <t>466-19 Rehab of Duhernal Well</t>
  </si>
  <si>
    <t>474-19 - Acquisition of Vehicles and Eqipment</t>
  </si>
  <si>
    <t>Water treatment plant expansion</t>
  </si>
  <si>
    <t>Camden, Henry, and Dolan Mains</t>
  </si>
  <si>
    <t>Quaid Street water main</t>
  </si>
  <si>
    <t>Renovations to Old Water Treatment Plant</t>
  </si>
  <si>
    <t>Duhernal Well Rehabilitation</t>
  </si>
  <si>
    <t>Pulaski Ave Water Tank Rehab</t>
  </si>
  <si>
    <t>Scott Avenue Water Line Improvements</t>
  </si>
  <si>
    <t>Hercules Village Water Line Improvements</t>
  </si>
  <si>
    <t>Rehab of Duhernal Well</t>
  </si>
  <si>
    <t>141-10</t>
  </si>
  <si>
    <t>298-15</t>
  </si>
  <si>
    <t>329-16</t>
  </si>
  <si>
    <t>340-16</t>
  </si>
  <si>
    <t>357-17</t>
  </si>
  <si>
    <t>395-18</t>
  </si>
  <si>
    <t>407-18</t>
  </si>
  <si>
    <t>421-18</t>
  </si>
  <si>
    <t>423-18 / 447-19</t>
  </si>
  <si>
    <t>466-19</t>
  </si>
  <si>
    <t>474-19</t>
  </si>
  <si>
    <t>Water rents</t>
  </si>
  <si>
    <t>Water connection fees</t>
  </si>
  <si>
    <t>Miscellaneous revenue</t>
  </si>
  <si>
    <t>Inventory</t>
  </si>
  <si>
    <t>Overexpendiure of Appropriations</t>
  </si>
  <si>
    <t>Accounts Payable</t>
  </si>
  <si>
    <t>Water Overpayments</t>
  </si>
  <si>
    <t>Cancellation of PY Accounts Payable</t>
  </si>
  <si>
    <t>Refund of Prior Year Revenue</t>
  </si>
  <si>
    <t>DEFERRED CHARGE - OPERATING DEFICIT</t>
  </si>
  <si>
    <t>INTERFUND PAYABLE - CURRENT</t>
  </si>
  <si>
    <t>ACCOUNTS PAYABLE</t>
  </si>
  <si>
    <t>GRANT RECEIVABLE - FEDERAL</t>
  </si>
  <si>
    <t>RESERVE FOR CDBG EXPENDITURES</t>
  </si>
  <si>
    <t>INTERFUND - CURRENT FUND</t>
  </si>
  <si>
    <t>RESERVE FOR OPEN SPACE</t>
  </si>
  <si>
    <t>UNEMPLOYMENT COMPENSATION TRUST FUND</t>
  </si>
  <si>
    <t>DUE TO STATE OF NEW JERSEY</t>
  </si>
  <si>
    <t>RESERVE FOR: UNEMPLOYMENT COMPENSATION</t>
  </si>
  <si>
    <t>Landscaping Escrow Deposits</t>
  </si>
  <si>
    <t>Developers' Security Deposits</t>
  </si>
  <si>
    <t>Road Opening Deposits</t>
  </si>
  <si>
    <t>Engineering Inspection Fees</t>
  </si>
  <si>
    <t>Planning Escrow Account</t>
  </si>
  <si>
    <t>Zoning Escrow Account</t>
  </si>
  <si>
    <t>Snow Removal</t>
  </si>
  <si>
    <t>Recreation Trust</t>
  </si>
  <si>
    <t>Special Deposits:</t>
  </si>
  <si>
    <t>Affordable Housing Trust</t>
  </si>
  <si>
    <t xml:space="preserve">   Uniform Fire Safety Act - Penalty - Fire Department</t>
  </si>
  <si>
    <t xml:space="preserve">   Uniform Fire Safety Act - Penalty - Fire Prevention</t>
  </si>
  <si>
    <t xml:space="preserve">   Off - Duty Municipal Police</t>
  </si>
  <si>
    <t xml:space="preserve">   Dumpster Bonds</t>
  </si>
  <si>
    <t>Special Deposits</t>
  </si>
  <si>
    <t xml:space="preserve">  Miscellaneous</t>
  </si>
  <si>
    <t xml:space="preserve">   Police Evidence Trust</t>
  </si>
  <si>
    <t xml:space="preserve">   Narcotics Property Seized</t>
  </si>
  <si>
    <t xml:space="preserve">   Environmental Penalties</t>
  </si>
  <si>
    <t xml:space="preserve">   Tax Sale Premium </t>
  </si>
  <si>
    <t xml:space="preserve">   Third Party Liens</t>
  </si>
  <si>
    <t xml:space="preserve">   Senior Citizen Contributions</t>
  </si>
  <si>
    <t xml:space="preserve">   Fair Share Agreements</t>
  </si>
  <si>
    <t xml:space="preserve">   Tree Bank Ordinance</t>
  </si>
  <si>
    <t xml:space="preserve">   Parking Offense Adjudication Act</t>
  </si>
  <si>
    <t xml:space="preserve">   Project D.A.R.E.</t>
  </si>
  <si>
    <t xml:space="preserve">   Recreation Trust</t>
  </si>
  <si>
    <t xml:space="preserve">   Tree Escrow</t>
  </si>
  <si>
    <t xml:space="preserve">   Redevelopment Escrow</t>
  </si>
  <si>
    <t xml:space="preserve">   Public Defender Fees</t>
  </si>
  <si>
    <t>Contributions-Fire Department &amp; Prevention</t>
  </si>
  <si>
    <t xml:space="preserve">   Steiner Court Maintenance Bond</t>
  </si>
  <si>
    <t xml:space="preserve">   Antennae Lease Security Deposits</t>
  </si>
  <si>
    <t xml:space="preserve">   Sheffield Town Settlement</t>
  </si>
  <si>
    <t xml:space="preserve">   Recycling Program Trust</t>
  </si>
  <si>
    <t xml:space="preserve">   Prosecutor's Federal Trust Fund</t>
  </si>
  <si>
    <t>INTERFUND RECEIVABLE</t>
  </si>
  <si>
    <t>Reserve for:</t>
  </si>
  <si>
    <t>Payroll Deductions</t>
  </si>
  <si>
    <t>Recreation Reciepts</t>
  </si>
  <si>
    <t>Tax Map</t>
  </si>
  <si>
    <t>General Capital Fund</t>
  </si>
  <si>
    <t xml:space="preserve">  Overexpenditure of Appropriations</t>
  </si>
  <si>
    <t>Animal Control Fund</t>
  </si>
  <si>
    <t xml:space="preserve">  Operating Deficit</t>
  </si>
  <si>
    <t>Budget Appropriation</t>
  </si>
  <si>
    <t>Safe &amp; Secure Grant</t>
  </si>
  <si>
    <t>Prior Year Senior and Vet Deductions - Disallowed</t>
  </si>
  <si>
    <t>Cancellation of Prior Year Accounts Payable</t>
  </si>
  <si>
    <t>REVENUE ACCOUNTS RECEIVABLE</t>
  </si>
  <si>
    <t>INTERFUND - ANIMAL CONTROL TRUST FUND</t>
  </si>
  <si>
    <t>INTERFUND - OPEN SPACE TRUST FUND</t>
  </si>
  <si>
    <t>COUNTY PILOT PAYABLE</t>
  </si>
  <si>
    <t>PREPAID REVENUE</t>
  </si>
  <si>
    <t>RESERVE FOR STATE AID LIBRARY</t>
  </si>
  <si>
    <t>RESERVE FOR SEWER CONNECTION FEE</t>
  </si>
  <si>
    <t xml:space="preserve">  MARRIAGE LICENCE</t>
  </si>
  <si>
    <t xml:space="preserve">  DCA TRAINING FEES</t>
  </si>
  <si>
    <t xml:space="preserve">  EDRS</t>
  </si>
  <si>
    <t>EMERGENCY NOTES PAYABLE</t>
  </si>
  <si>
    <t>INTERFUND - STATE AND FEDERAL GRANT FUND</t>
  </si>
  <si>
    <t>INTERFUND - TRUST OTHER FUND</t>
  </si>
  <si>
    <t>80031-04</t>
  </si>
  <si>
    <t xml:space="preserve">  Concessions</t>
  </si>
  <si>
    <t xml:space="preserve">  Sale of Maps</t>
  </si>
  <si>
    <t xml:space="preserve">  Copies of Public Records</t>
  </si>
  <si>
    <t xml:space="preserve">  Advertising Commissions</t>
  </si>
  <si>
    <t xml:space="preserve">  List of Property for Variances</t>
  </si>
  <si>
    <t xml:space="preserve">  Late Fees</t>
  </si>
  <si>
    <t xml:space="preserve">  Cancelled Checks</t>
  </si>
  <si>
    <t xml:space="preserve">  Sale of Boro Vehicles and Equipment</t>
  </si>
  <si>
    <t xml:space="preserve">  Redevelopment Option</t>
  </si>
  <si>
    <t xml:space="preserve">  J.I.F. Dividend</t>
  </si>
  <si>
    <t xml:space="preserve">  Refund of Prior Year Expenses</t>
  </si>
  <si>
    <t xml:space="preserve">  Admin. Costs - Sr. Citizen &amp; Vets</t>
  </si>
  <si>
    <t xml:space="preserve">  State MV Inspection Receipts</t>
  </si>
  <si>
    <t xml:space="preserve">  Duplicate Tax Bills</t>
  </si>
  <si>
    <t xml:space="preserve">  Returned Check Fees</t>
  </si>
  <si>
    <t xml:space="preserve">  Gun Permits</t>
  </si>
  <si>
    <t xml:space="preserve">  Accident Reports</t>
  </si>
  <si>
    <t xml:space="preserve">  Alarm Fees</t>
  </si>
  <si>
    <t xml:space="preserve">  Building Violation Penalties</t>
  </si>
  <si>
    <t xml:space="preserve">  Sale of Scrap</t>
  </si>
  <si>
    <t xml:space="preserve">  Recycling Containers </t>
  </si>
  <si>
    <t xml:space="preserve">  Forfeited Premiums</t>
  </si>
  <si>
    <t xml:space="preserve">  Sale of Garbage Cans</t>
  </si>
  <si>
    <t xml:space="preserve">  MRNA</t>
  </si>
  <si>
    <t xml:space="preserve">  Insurance Proceeds</t>
  </si>
  <si>
    <t xml:space="preserve">  Property Lease Agreement - Transcontintenal Gas Pipe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</si>
</sst>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4">
    <font>
      <sz val="10"/>
      <name val="Arial"/>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b/>
      <i/>
      <sz val="14"/>
      <name val="Arial"/>
      <family val="2"/>
    </font>
    <font>
      <sz val="11"/>
      <color rgb="FFFF0000"/>
      <name val="Calibri"/>
      <family val="2"/>
    </font>
    <font>
      <sz val="10"/>
      <color theme="0"/>
      <name val="Arial"/>
      <family val="2"/>
    </font>
    <font>
      <sz val="10"/>
      <name val="Verdana"/>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s>
  <cellStyleXfs count="88">
    <xf numFmtId="0" fontId="0" fillId="0" borderId="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46"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3" fontId="45" fillId="0" borderId="0"/>
    <xf numFmtId="0" fontId="13" fillId="0" borderId="0"/>
    <xf numFmtId="0" fontId="20" fillId="0" borderId="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3" fillId="0" borderId="0"/>
    <xf numFmtId="0" fontId="48" fillId="0" borderId="0"/>
    <xf numFmtId="0" fontId="3" fillId="0" borderId="0"/>
    <xf numFmtId="0" fontId="45" fillId="0" borderId="0"/>
    <xf numFmtId="0" fontId="13" fillId="0" borderId="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2"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4" fontId="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4" fontId="49" fillId="0" borderId="0" applyFont="0" applyFill="0" applyBorder="0" applyAlignment="0" applyProtection="0"/>
    <xf numFmtId="44"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2"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 fillId="0" borderId="0"/>
    <xf numFmtId="0" fontId="3" fillId="0" borderId="0"/>
    <xf numFmtId="0" fontId="52" fillId="0" borderId="0"/>
    <xf numFmtId="0" fontId="53" fillId="0" borderId="0" applyNumberFormat="0" applyFill="0" applyBorder="0" applyAlignment="0" applyProtection="0"/>
    <xf numFmtId="0" fontId="3" fillId="0" borderId="0"/>
    <xf numFmtId="0" fontId="3" fillId="0" borderId="0"/>
    <xf numFmtId="9" fontId="49"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43" fontId="13" fillId="0" borderId="0" applyFont="0" applyFill="0" applyBorder="0" applyAlignment="0" applyProtection="0"/>
    <xf numFmtId="0" fontId="1" fillId="0" borderId="0"/>
    <xf numFmtId="43" fontId="1" fillId="0" borderId="0" applyFont="0" applyFill="0" applyBorder="0" applyAlignment="0" applyProtection="0"/>
    <xf numFmtId="0" fontId="73" fillId="0" borderId="0"/>
  </cellStyleXfs>
  <cellXfs count="1973">
    <xf numFmtId="0" fontId="0" fillId="0" borderId="0" xfId="0"/>
    <xf numFmtId="0" fontId="0" fillId="0" borderId="0" xfId="0" applyAlignment="1">
      <alignment horizontal="center"/>
    </xf>
    <xf numFmtId="0" fontId="5"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0" fillId="0" borderId="0" xfId="0" applyFont="1" applyAlignment="1">
      <alignment horizontal="left"/>
    </xf>
    <xf numFmtId="0" fontId="10"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2"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6" fillId="0" borderId="3" xfId="0" applyFont="1" applyBorder="1"/>
    <xf numFmtId="0" fontId="16" fillId="0" borderId="5" xfId="0" applyFont="1" applyBorder="1"/>
    <xf numFmtId="0" fontId="16" fillId="0" borderId="26" xfId="0" applyFont="1" applyBorder="1"/>
    <xf numFmtId="0" fontId="10" fillId="0" borderId="0" xfId="0" applyFont="1"/>
    <xf numFmtId="0" fontId="19" fillId="0" borderId="0" xfId="0" applyFont="1"/>
    <xf numFmtId="0" fontId="20" fillId="0" borderId="0" xfId="0" applyFont="1"/>
    <xf numFmtId="0" fontId="22" fillId="0" borderId="0" xfId="0" applyFont="1"/>
    <xf numFmtId="0" fontId="0" fillId="0" borderId="0" xfId="0" applyAlignment="1">
      <alignment horizontal="right"/>
    </xf>
    <xf numFmtId="0" fontId="4"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0" fillId="0" borderId="5" xfId="0" applyFont="1" applyBorder="1"/>
    <xf numFmtId="0" fontId="10" fillId="0" borderId="0" xfId="0" applyFont="1" applyBorder="1"/>
    <xf numFmtId="0" fontId="17" fillId="0" borderId="0" xfId="0" applyFont="1" applyAlignment="1">
      <alignment horizontal="center"/>
    </xf>
    <xf numFmtId="0" fontId="17" fillId="0" borderId="7" xfId="0" applyFont="1" applyBorder="1" applyAlignment="1">
      <alignment horizontal="center"/>
    </xf>
    <xf numFmtId="0" fontId="17" fillId="0" borderId="3" xfId="0" applyFont="1" applyBorder="1" applyAlignment="1">
      <alignment horizontal="center"/>
    </xf>
    <xf numFmtId="0" fontId="17"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7"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26" xfId="0" applyFont="1" applyBorder="1" applyAlignment="1">
      <alignment horizontal="center"/>
    </xf>
    <xf numFmtId="0" fontId="16" fillId="0" borderId="3" xfId="0" applyFont="1" applyBorder="1" applyAlignment="1">
      <alignment horizontal="center"/>
    </xf>
    <xf numFmtId="0" fontId="0" fillId="0" borderId="1" xfId="0" applyBorder="1"/>
    <xf numFmtId="0" fontId="10"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7" fillId="0" borderId="37" xfId="0" applyFont="1" applyBorder="1" applyAlignment="1">
      <alignment horizontal="center" vertical="center"/>
    </xf>
    <xf numFmtId="0" fontId="17"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6" fillId="0" borderId="3" xfId="0" applyFont="1" applyBorder="1" applyAlignment="1">
      <alignment wrapText="1"/>
    </xf>
    <xf numFmtId="49" fontId="25" fillId="0" borderId="0" xfId="0" applyNumberFormat="1" applyFont="1" applyAlignment="1">
      <alignment horizontal="left"/>
    </xf>
    <xf numFmtId="0" fontId="23" fillId="0" borderId="0" xfId="0" applyFont="1"/>
    <xf numFmtId="0" fontId="13" fillId="0" borderId="0" xfId="0" applyFont="1"/>
    <xf numFmtId="0" fontId="26"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6" fillId="0" borderId="0" xfId="0" applyFont="1"/>
    <xf numFmtId="0" fontId="0" fillId="0" borderId="41" xfId="0" applyBorder="1" applyAlignment="1">
      <alignment horizontal="right"/>
    </xf>
    <xf numFmtId="0" fontId="0" fillId="0" borderId="41" xfId="0" applyBorder="1"/>
    <xf numFmtId="43" fontId="13" fillId="0" borderId="27" xfId="1" applyFont="1" applyBorder="1"/>
    <xf numFmtId="43" fontId="13" fillId="0" borderId="10" xfId="1" applyFont="1" applyBorder="1"/>
    <xf numFmtId="43" fontId="13" fillId="0" borderId="22" xfId="1" applyFont="1" applyBorder="1"/>
    <xf numFmtId="0" fontId="0" fillId="0" borderId="0" xfId="0" applyAlignment="1">
      <alignment vertical="center"/>
    </xf>
    <xf numFmtId="0" fontId="0" fillId="0" borderId="21" xfId="0" applyBorder="1"/>
    <xf numFmtId="0" fontId="6" fillId="0" borderId="0" xfId="0" applyFont="1" applyAlignment="1">
      <alignment horizontal="center"/>
    </xf>
    <xf numFmtId="10" fontId="17" fillId="0" borderId="42" xfId="13" applyNumberFormat="1" applyFont="1" applyBorder="1"/>
    <xf numFmtId="43" fontId="0" fillId="0" borderId="41" xfId="1" applyFont="1" applyBorder="1"/>
    <xf numFmtId="43" fontId="17"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7" fillId="0" borderId="0" xfId="0" applyFont="1"/>
    <xf numFmtId="0" fontId="11" fillId="0" borderId="0" xfId="0" applyFont="1"/>
    <xf numFmtId="43" fontId="3" fillId="0" borderId="7" xfId="1" applyBorder="1"/>
    <xf numFmtId="0" fontId="0" fillId="0" borderId="19" xfId="0" applyBorder="1" applyAlignment="1">
      <alignment horizontal="right"/>
    </xf>
    <xf numFmtId="43" fontId="3" fillId="0" borderId="0" xfId="1" applyBorder="1"/>
    <xf numFmtId="43" fontId="3" fillId="0" borderId="8" xfId="1" applyBorder="1"/>
    <xf numFmtId="43" fontId="3" fillId="0" borderId="34" xfId="1" applyBorder="1"/>
    <xf numFmtId="43" fontId="0" fillId="0" borderId="0" xfId="1" applyFont="1" applyBorder="1"/>
    <xf numFmtId="43" fontId="17" fillId="0" borderId="18" xfId="1" applyFont="1" applyBorder="1" applyAlignment="1">
      <alignment horizontal="center"/>
    </xf>
    <xf numFmtId="43" fontId="17" fillId="0" borderId="3" xfId="1" applyFont="1" applyBorder="1" applyAlignment="1">
      <alignment horizontal="center"/>
    </xf>
    <xf numFmtId="43" fontId="17" fillId="0" borderId="26" xfId="1" applyFont="1" applyBorder="1" applyAlignment="1">
      <alignment horizontal="center"/>
    </xf>
    <xf numFmtId="49" fontId="6"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0" fillId="0" borderId="0" xfId="0" applyBorder="1" applyAlignment="1">
      <alignment horizontal="center"/>
    </xf>
    <xf numFmtId="0" fontId="22"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3" fillId="0" borderId="11" xfId="1" applyBorder="1"/>
    <xf numFmtId="0" fontId="13"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3"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6" fillId="0" borderId="0" xfId="0" applyFont="1" applyAlignment="1">
      <alignment horizontal="right"/>
    </xf>
    <xf numFmtId="43" fontId="17" fillId="0" borderId="33" xfId="1" applyFont="1" applyBorder="1" applyAlignment="1">
      <alignment horizontal="center"/>
    </xf>
    <xf numFmtId="43" fontId="17"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7" fillId="0" borderId="11" xfId="0" applyFont="1" applyBorder="1" applyAlignment="1">
      <alignment horizontal="center"/>
    </xf>
    <xf numFmtId="0" fontId="16" fillId="0" borderId="0" xfId="0" applyFont="1" applyBorder="1" applyAlignment="1">
      <alignment horizontal="center"/>
    </xf>
    <xf numFmtId="0" fontId="17" fillId="0" borderId="0" xfId="0" applyFont="1" applyBorder="1"/>
    <xf numFmtId="0" fontId="10" fillId="0" borderId="0" xfId="0" applyFont="1" applyBorder="1" applyAlignment="1">
      <alignment horizontal="right"/>
    </xf>
    <xf numFmtId="43" fontId="3" fillId="0" borderId="25" xfId="1" applyBorder="1"/>
    <xf numFmtId="49" fontId="10" fillId="0" borderId="0" xfId="0" applyNumberFormat="1" applyFont="1" applyBorder="1" applyAlignment="1">
      <alignment horizontal="left"/>
    </xf>
    <xf numFmtId="0" fontId="10" fillId="0" borderId="0" xfId="0" applyFont="1" applyBorder="1" applyAlignment="1">
      <alignment horizontal="left"/>
    </xf>
    <xf numFmtId="0" fontId="17" fillId="0" borderId="14" xfId="0" applyFont="1" applyBorder="1" applyAlignment="1">
      <alignment horizontal="center"/>
    </xf>
    <xf numFmtId="43" fontId="3" fillId="0" borderId="14" xfId="1" applyBorder="1"/>
    <xf numFmtId="43" fontId="17" fillId="0" borderId="27" xfId="1" applyFont="1" applyBorder="1" applyAlignment="1">
      <alignment horizontal="center"/>
    </xf>
    <xf numFmtId="43" fontId="17" fillId="0" borderId="24" xfId="1" applyFont="1" applyBorder="1" applyAlignment="1">
      <alignment horizontal="center"/>
    </xf>
    <xf numFmtId="43" fontId="3" fillId="0" borderId="26" xfId="1" applyBorder="1"/>
    <xf numFmtId="43" fontId="3" fillId="0" borderId="35" xfId="1" applyBorder="1"/>
    <xf numFmtId="49" fontId="16" fillId="0" borderId="0" xfId="0" applyNumberFormat="1" applyFont="1" applyAlignment="1">
      <alignment horizontal="left"/>
    </xf>
    <xf numFmtId="0" fontId="17" fillId="0" borderId="0" xfId="0" applyFont="1" applyBorder="1" applyAlignment="1">
      <alignment horizontal="center"/>
    </xf>
    <xf numFmtId="0" fontId="0" fillId="0" borderId="52" xfId="0" applyBorder="1"/>
    <xf numFmtId="43" fontId="0" fillId="0" borderId="4" xfId="1" applyFont="1" applyBorder="1"/>
    <xf numFmtId="43" fontId="17" fillId="0" borderId="4" xfId="1" applyFont="1" applyBorder="1" applyAlignment="1">
      <alignment horizontal="center"/>
    </xf>
    <xf numFmtId="43" fontId="17" fillId="0" borderId="0" xfId="1" applyFont="1" applyAlignment="1">
      <alignment horizontal="center"/>
    </xf>
    <xf numFmtId="43" fontId="17" fillId="0" borderId="6" xfId="1" applyFont="1" applyBorder="1" applyAlignment="1">
      <alignment horizontal="center"/>
    </xf>
    <xf numFmtId="43" fontId="0" fillId="0" borderId="53" xfId="1" applyFont="1" applyBorder="1"/>
    <xf numFmtId="43" fontId="17" fillId="0" borderId="32" xfId="1" applyFont="1" applyBorder="1" applyAlignment="1">
      <alignment horizontal="center"/>
    </xf>
    <xf numFmtId="0" fontId="25"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7" fillId="0" borderId="0" xfId="0" applyNumberFormat="1" applyFont="1" applyBorder="1" applyAlignment="1">
      <alignment horizontal="left"/>
    </xf>
    <xf numFmtId="0" fontId="22" fillId="0" borderId="0" xfId="0" applyFont="1" applyBorder="1"/>
    <xf numFmtId="0" fontId="13" fillId="0" borderId="0" xfId="0" applyFont="1" applyAlignment="1">
      <alignment horizontal="center"/>
    </xf>
    <xf numFmtId="0" fontId="11" fillId="0" borderId="0" xfId="0" applyFont="1" applyAlignment="1">
      <alignment horizontal="left"/>
    </xf>
    <xf numFmtId="0" fontId="13" fillId="0" borderId="0" xfId="0" applyFont="1" applyBorder="1"/>
    <xf numFmtId="0" fontId="23"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5" fillId="0" borderId="0" xfId="0" applyFont="1"/>
    <xf numFmtId="43" fontId="3" fillId="0" borderId="0" xfId="1"/>
    <xf numFmtId="0" fontId="13" fillId="0" borderId="18" xfId="0" applyFont="1" applyBorder="1" applyAlignment="1"/>
    <xf numFmtId="0" fontId="0" fillId="0" borderId="65" xfId="0" applyBorder="1"/>
    <xf numFmtId="49" fontId="16" fillId="0" borderId="0" xfId="0" applyNumberFormat="1" applyFont="1"/>
    <xf numFmtId="0" fontId="16" fillId="0" borderId="0" xfId="0" applyFont="1" applyAlignment="1">
      <alignment horizontal="left"/>
    </xf>
    <xf numFmtId="49" fontId="0" fillId="0" borderId="0" xfId="0" applyNumberFormat="1" applyAlignment="1"/>
    <xf numFmtId="0" fontId="0" fillId="0" borderId="0" xfId="0" applyAlignment="1"/>
    <xf numFmtId="43" fontId="17" fillId="0" borderId="28" xfId="1" applyFont="1" applyBorder="1" applyAlignment="1">
      <alignment horizontal="center"/>
    </xf>
    <xf numFmtId="43" fontId="0" fillId="0" borderId="56" xfId="0" applyNumberFormat="1" applyBorder="1"/>
    <xf numFmtId="43" fontId="20"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6" fillId="0" borderId="0" xfId="0" applyNumberFormat="1" applyFont="1" applyAlignment="1">
      <alignment horizontal="right"/>
    </xf>
    <xf numFmtId="8" fontId="16" fillId="0" borderId="0" xfId="0" applyNumberFormat="1" applyFont="1"/>
    <xf numFmtId="0" fontId="38" fillId="0" borderId="0" xfId="0" applyFont="1"/>
    <xf numFmtId="49" fontId="38" fillId="0" borderId="0" xfId="0" applyNumberFormat="1" applyFont="1" applyBorder="1" applyAlignment="1">
      <alignment horizontal="left"/>
    </xf>
    <xf numFmtId="0" fontId="38" fillId="0" borderId="0" xfId="0" applyFont="1" applyBorder="1"/>
    <xf numFmtId="0" fontId="38" fillId="0" borderId="0" xfId="0" applyFont="1" applyBorder="1" applyAlignment="1">
      <alignment horizontal="right"/>
    </xf>
    <xf numFmtId="0" fontId="38" fillId="0" borderId="0" xfId="0" applyFont="1" applyBorder="1" applyAlignment="1">
      <alignment horizontal="left"/>
    </xf>
    <xf numFmtId="49" fontId="16" fillId="0" borderId="0" xfId="0" applyNumberFormat="1" applyFont="1" applyAlignment="1"/>
    <xf numFmtId="0" fontId="16" fillId="0" borderId="0" xfId="0" applyFont="1" applyAlignment="1"/>
    <xf numFmtId="43" fontId="0" fillId="0" borderId="3" xfId="1" applyFont="1" applyBorder="1" applyAlignment="1">
      <alignment horizontal="center"/>
    </xf>
    <xf numFmtId="43" fontId="0" fillId="0" borderId="32" xfId="1" applyFont="1" applyBorder="1"/>
    <xf numFmtId="43" fontId="13" fillId="0" borderId="3" xfId="1" applyFont="1" applyBorder="1"/>
    <xf numFmtId="43" fontId="13" fillId="0" borderId="34" xfId="1" applyFont="1" applyBorder="1"/>
    <xf numFmtId="43" fontId="13" fillId="0" borderId="33" xfId="1" applyFont="1" applyBorder="1"/>
    <xf numFmtId="43" fontId="13" fillId="0" borderId="18" xfId="1" applyFont="1" applyBorder="1"/>
    <xf numFmtId="43" fontId="13" fillId="0" borderId="25" xfId="1" applyFont="1" applyBorder="1"/>
    <xf numFmtId="43" fontId="13" fillId="0" borderId="11" xfId="1" applyFont="1" applyBorder="1"/>
    <xf numFmtId="43" fontId="13" fillId="0" borderId="8" xfId="1" applyFont="1" applyBorder="1"/>
    <xf numFmtId="43" fontId="13" fillId="0" borderId="28" xfId="1" applyFont="1" applyBorder="1"/>
    <xf numFmtId="43" fontId="13" fillId="0" borderId="30" xfId="1" applyFont="1" applyBorder="1"/>
    <xf numFmtId="43" fontId="13" fillId="0" borderId="64" xfId="1" applyFont="1" applyBorder="1"/>
    <xf numFmtId="43" fontId="13" fillId="0" borderId="33" xfId="1" applyFont="1" applyBorder="1" applyAlignment="1"/>
    <xf numFmtId="43" fontId="13" fillId="0" borderId="47" xfId="1" applyFont="1" applyBorder="1" applyAlignment="1"/>
    <xf numFmtId="43" fontId="13" fillId="0" borderId="50" xfId="1" applyFont="1" applyBorder="1"/>
    <xf numFmtId="43" fontId="13" fillId="0" borderId="14" xfId="1" applyFont="1" applyBorder="1"/>
    <xf numFmtId="43" fontId="0" fillId="0" borderId="0" xfId="0" applyNumberFormat="1"/>
    <xf numFmtId="49" fontId="17" fillId="0" borderId="18" xfId="0" applyNumberFormat="1" applyFont="1" applyBorder="1" applyAlignment="1">
      <alignment horizontal="left"/>
    </xf>
    <xf numFmtId="43" fontId="13" fillId="0" borderId="0" xfId="1" applyFont="1"/>
    <xf numFmtId="43" fontId="13" fillId="0" borderId="26" xfId="1" applyFont="1" applyBorder="1"/>
    <xf numFmtId="43" fontId="13" fillId="0" borderId="82" xfId="1" applyFont="1" applyBorder="1"/>
    <xf numFmtId="43" fontId="13" fillId="0" borderId="35" xfId="1" applyFont="1" applyBorder="1"/>
    <xf numFmtId="43" fontId="13" fillId="0" borderId="12" xfId="1" applyFont="1" applyBorder="1"/>
    <xf numFmtId="43" fontId="13" fillId="0" borderId="36" xfId="1" applyFont="1" applyBorder="1"/>
    <xf numFmtId="0" fontId="13" fillId="0" borderId="15" xfId="0" applyFont="1" applyBorder="1"/>
    <xf numFmtId="43" fontId="13" fillId="0" borderId="83" xfId="1" applyFont="1" applyBorder="1"/>
    <xf numFmtId="43" fontId="13" fillId="0" borderId="84" xfId="1" applyFont="1" applyBorder="1"/>
    <xf numFmtId="43" fontId="13" fillId="0" borderId="23" xfId="1" applyFont="1" applyBorder="1"/>
    <xf numFmtId="43" fontId="0" fillId="0" borderId="86" xfId="1" applyFont="1" applyBorder="1"/>
    <xf numFmtId="43" fontId="0" fillId="0" borderId="87" xfId="1" applyFont="1" applyBorder="1"/>
    <xf numFmtId="0" fontId="39" fillId="0" borderId="0" xfId="0" applyFont="1"/>
    <xf numFmtId="0" fontId="0" fillId="0" borderId="52" xfId="0" applyBorder="1" applyAlignment="1">
      <alignment horizontal="right"/>
    </xf>
    <xf numFmtId="0" fontId="0" fillId="0" borderId="12" xfId="0" applyBorder="1" applyAlignment="1">
      <alignment horizontal="center"/>
    </xf>
    <xf numFmtId="43" fontId="3"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2" fillId="0" borderId="0" xfId="0" applyFont="1" applyFill="1" applyAlignment="1">
      <alignment horizontal="center"/>
    </xf>
    <xf numFmtId="43" fontId="3"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3" fillId="0" borderId="4" xfId="1" applyFill="1" applyBorder="1"/>
    <xf numFmtId="43" fontId="3" fillId="0" borderId="0" xfId="1" applyFill="1"/>
    <xf numFmtId="43" fontId="3" fillId="0" borderId="3" xfId="1" applyFill="1" applyBorder="1"/>
    <xf numFmtId="43" fontId="17"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3" fillId="0" borderId="26" xfId="1" applyFont="1" applyFill="1" applyBorder="1"/>
    <xf numFmtId="43" fontId="13" fillId="0" borderId="32" xfId="1" applyFont="1" applyFill="1" applyBorder="1"/>
    <xf numFmtId="43" fontId="13" fillId="0" borderId="87" xfId="1" applyFont="1" applyFill="1" applyBorder="1"/>
    <xf numFmtId="43" fontId="0" fillId="0" borderId="3" xfId="1" applyFont="1" applyFill="1" applyBorder="1"/>
    <xf numFmtId="43" fontId="0" fillId="0" borderId="26" xfId="1" applyFont="1" applyFill="1" applyBorder="1"/>
    <xf numFmtId="43" fontId="3" fillId="0" borderId="0" xfId="0" applyNumberFormat="1" applyFont="1"/>
    <xf numFmtId="43" fontId="3" fillId="0" borderId="0" xfId="0" applyNumberFormat="1" applyFont="1" applyFill="1"/>
    <xf numFmtId="0" fontId="0" fillId="0" borderId="0" xfId="0"/>
    <xf numFmtId="0" fontId="3" fillId="0" borderId="0" xfId="0" applyFont="1"/>
    <xf numFmtId="0" fontId="0" fillId="0" borderId="0" xfId="0" applyFill="1"/>
    <xf numFmtId="0" fontId="13"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3" fillId="0" borderId="0" xfId="0" applyFont="1"/>
    <xf numFmtId="0" fontId="0" fillId="0" borderId="0" xfId="0" applyBorder="1"/>
    <xf numFmtId="43" fontId="0" fillId="0" borderId="0" xfId="1" applyFont="1"/>
    <xf numFmtId="0" fontId="13" fillId="0" borderId="0" xfId="0" applyFont="1"/>
    <xf numFmtId="0" fontId="16" fillId="0" borderId="0" xfId="0" applyFont="1"/>
    <xf numFmtId="0" fontId="22" fillId="0" borderId="0" xfId="0" applyFont="1" applyAlignment="1">
      <alignment horizontal="center"/>
    </xf>
    <xf numFmtId="43" fontId="0" fillId="0" borderId="0" xfId="0" applyNumberFormat="1"/>
    <xf numFmtId="43" fontId="3" fillId="0" borderId="7" xfId="1" applyFill="1" applyBorder="1"/>
    <xf numFmtId="0" fontId="13" fillId="0" borderId="0" xfId="38"/>
    <xf numFmtId="14" fontId="22" fillId="0" borderId="0" xfId="0" applyNumberFormat="1" applyFont="1" applyBorder="1" applyAlignment="1">
      <alignment horizontal="center"/>
    </xf>
    <xf numFmtId="0" fontId="22"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3" fillId="0" borderId="3" xfId="0" quotePrefix="1" applyFont="1" applyBorder="1"/>
    <xf numFmtId="1" fontId="3" fillId="0" borderId="0" xfId="19" applyNumberFormat="1" applyAlignment="1">
      <alignment horizontal="center"/>
    </xf>
    <xf numFmtId="0" fontId="3" fillId="0" borderId="3" xfId="19" applyBorder="1"/>
    <xf numFmtId="14" fontId="10"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6" fillId="0" borderId="0" xfId="0" applyNumberFormat="1" applyFont="1" applyAlignment="1">
      <alignment horizontal="left"/>
    </xf>
    <xf numFmtId="43" fontId="0" fillId="0" borderId="20" xfId="1" applyFont="1" applyFill="1" applyBorder="1"/>
    <xf numFmtId="43" fontId="13" fillId="0" borderId="27" xfId="1" applyFont="1" applyFill="1" applyBorder="1"/>
    <xf numFmtId="43" fontId="17" fillId="0" borderId="7" xfId="1" applyFont="1" applyFill="1" applyBorder="1" applyAlignment="1">
      <alignment horizontal="center"/>
    </xf>
    <xf numFmtId="43" fontId="13" fillId="0" borderId="3" xfId="1" applyFont="1" applyFill="1" applyBorder="1"/>
    <xf numFmtId="43" fontId="0" fillId="0" borderId="0" xfId="0" applyNumberFormat="1"/>
    <xf numFmtId="0" fontId="0" fillId="0" borderId="0" xfId="0" applyAlignment="1">
      <alignment horizontal="center"/>
    </xf>
    <xf numFmtId="43" fontId="13" fillId="0" borderId="36" xfId="1" applyFont="1" applyFill="1" applyBorder="1"/>
    <xf numFmtId="43" fontId="17" fillId="0" borderId="27" xfId="1" applyFont="1" applyFill="1" applyBorder="1" applyAlignment="1">
      <alignment horizontal="center"/>
    </xf>
    <xf numFmtId="43" fontId="17" fillId="0" borderId="6" xfId="1" applyFont="1" applyFill="1" applyBorder="1" applyAlignment="1">
      <alignment horizontal="center"/>
    </xf>
    <xf numFmtId="43" fontId="3" fillId="0" borderId="48" xfId="1" applyFont="1" applyFill="1" applyBorder="1"/>
    <xf numFmtId="0" fontId="0" fillId="0" borderId="0" xfId="0"/>
    <xf numFmtId="0" fontId="3" fillId="0" borderId="31" xfId="0" applyFont="1" applyBorder="1"/>
    <xf numFmtId="43" fontId="3" fillId="0" borderId="17" xfId="1" applyFont="1" applyFill="1" applyBorder="1"/>
    <xf numFmtId="0" fontId="3" fillId="0" borderId="0" xfId="69" applyFont="1" applyFill="1" applyBorder="1" applyAlignment="1">
      <alignment horizontal="left"/>
    </xf>
    <xf numFmtId="0" fontId="0" fillId="0" borderId="0" xfId="0"/>
    <xf numFmtId="0" fontId="0" fillId="0" borderId="3" xfId="0" applyBorder="1"/>
    <xf numFmtId="0" fontId="3" fillId="0" borderId="0" xfId="0" applyFont="1"/>
    <xf numFmtId="43" fontId="0" fillId="0" borderId="0" xfId="0" applyNumberFormat="1"/>
    <xf numFmtId="0" fontId="3" fillId="0" borderId="3" xfId="0" applyFont="1" applyBorder="1"/>
    <xf numFmtId="43" fontId="0" fillId="0" borderId="0" xfId="0" applyNumberFormat="1" applyFill="1"/>
    <xf numFmtId="0" fontId="3" fillId="0" borderId="23" xfId="0" applyFont="1" applyBorder="1"/>
    <xf numFmtId="0" fontId="23" fillId="0" borderId="0" xfId="0" applyFont="1" applyAlignment="1">
      <alignment horizontal="center" vertical="center" textRotation="180" wrapText="1"/>
    </xf>
    <xf numFmtId="0" fontId="13" fillId="0" borderId="23" xfId="0" applyFont="1" applyBorder="1"/>
    <xf numFmtId="0" fontId="3" fillId="0" borderId="0" xfId="19"/>
    <xf numFmtId="43" fontId="3" fillId="0" borderId="22" xfId="1" applyFont="1" applyBorder="1"/>
    <xf numFmtId="0" fontId="3" fillId="0" borderId="0" xfId="68" applyFont="1" applyFill="1" applyBorder="1" applyAlignment="1">
      <alignment horizontal="left"/>
    </xf>
    <xf numFmtId="0" fontId="3" fillId="0" borderId="3" xfId="19" applyBorder="1"/>
    <xf numFmtId="43" fontId="13" fillId="0" borderId="7" xfId="1" applyFont="1" applyBorder="1"/>
    <xf numFmtId="43" fontId="13" fillId="0" borderId="29" xfId="1" applyFont="1" applyBorder="1"/>
    <xf numFmtId="43" fontId="13" fillId="0" borderId="7" xfId="1" applyFont="1" applyFill="1" applyBorder="1"/>
    <xf numFmtId="43" fontId="3" fillId="0" borderId="0" xfId="1" applyFont="1" applyFill="1"/>
    <xf numFmtId="0" fontId="24" fillId="0" borderId="0" xfId="0" applyFont="1" applyFill="1" applyAlignment="1">
      <alignment horizontal="center"/>
    </xf>
    <xf numFmtId="0" fontId="0" fillId="0" borderId="8" xfId="0" applyFill="1" applyBorder="1"/>
    <xf numFmtId="43" fontId="17" fillId="0" borderId="18" xfId="1" applyFont="1" applyFill="1" applyBorder="1" applyAlignment="1">
      <alignment horizontal="center"/>
    </xf>
    <xf numFmtId="43" fontId="17" fillId="0" borderId="32" xfId="1" applyFont="1" applyFill="1" applyBorder="1" applyAlignment="1">
      <alignment horizontal="center"/>
    </xf>
    <xf numFmtId="43" fontId="13" fillId="0" borderId="11" xfId="1" applyFont="1" applyFill="1" applyBorder="1"/>
    <xf numFmtId="43" fontId="13" fillId="0" borderId="8" xfId="1" applyFont="1" applyFill="1" applyBorder="1"/>
    <xf numFmtId="0" fontId="3" fillId="0" borderId="0" xfId="0" applyFont="1" applyFill="1" applyBorder="1"/>
    <xf numFmtId="0" fontId="4" fillId="0" borderId="0" xfId="0" applyFont="1" applyFill="1" applyBorder="1" applyAlignment="1">
      <alignment horizontal="center"/>
    </xf>
    <xf numFmtId="0" fontId="0" fillId="0" borderId="18" xfId="0" applyFill="1" applyBorder="1"/>
    <xf numFmtId="43" fontId="23" fillId="0" borderId="28" xfId="1" applyFont="1" applyFill="1" applyBorder="1"/>
    <xf numFmtId="0" fontId="0" fillId="0" borderId="3" xfId="0" applyFill="1" applyBorder="1"/>
    <xf numFmtId="43" fontId="13" fillId="0" borderId="29" xfId="1" applyFont="1" applyFill="1" applyBorder="1"/>
    <xf numFmtId="0" fontId="0" fillId="0" borderId="0" xfId="0" quotePrefix="1" applyFill="1" applyBorder="1"/>
    <xf numFmtId="43" fontId="0" fillId="0" borderId="0" xfId="0" applyNumberFormat="1" applyFill="1" applyBorder="1"/>
    <xf numFmtId="0" fontId="20" fillId="0" borderId="0" xfId="0" applyFont="1" applyFill="1" applyBorder="1"/>
    <xf numFmtId="43" fontId="13"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3" fillId="0" borderId="0" xfId="0" applyFont="1" applyFill="1"/>
    <xf numFmtId="43" fontId="13" fillId="0" borderId="4" xfId="1" applyFont="1" applyFill="1" applyBorder="1"/>
    <xf numFmtId="43" fontId="13" fillId="0" borderId="86" xfId="1" applyFont="1" applyFill="1" applyBorder="1"/>
    <xf numFmtId="0" fontId="0" fillId="0" borderId="0" xfId="0" applyAlignment="1">
      <alignment horizontal="center"/>
    </xf>
    <xf numFmtId="43" fontId="17" fillId="0" borderId="29" xfId="1" applyFont="1" applyBorder="1" applyAlignment="1">
      <alignment horizontal="center"/>
    </xf>
    <xf numFmtId="0" fontId="3" fillId="0" borderId="0" xfId="0" applyFont="1" applyBorder="1"/>
    <xf numFmtId="14" fontId="3" fillId="0" borderId="92" xfId="0" applyNumberFormat="1" applyFont="1" applyFill="1" applyBorder="1"/>
    <xf numFmtId="1" fontId="3" fillId="0" borderId="92" xfId="0" applyNumberFormat="1" applyFont="1" applyFill="1" applyBorder="1"/>
    <xf numFmtId="49" fontId="3"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3" fillId="2" borderId="7" xfId="1" applyFont="1" applyFill="1" applyBorder="1" applyProtection="1">
      <protection locked="0"/>
    </xf>
    <xf numFmtId="43" fontId="13"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3" fillId="2" borderId="26" xfId="1" applyFill="1" applyBorder="1" applyProtection="1">
      <protection locked="0"/>
    </xf>
    <xf numFmtId="0" fontId="55"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0" fontId="3" fillId="0" borderId="94" xfId="0" applyFont="1" applyFill="1" applyBorder="1"/>
    <xf numFmtId="0" fontId="0" fillId="0" borderId="92" xfId="0" applyFill="1" applyBorder="1"/>
    <xf numFmtId="3" fontId="0" fillId="0" borderId="0" xfId="0" applyNumberFormat="1"/>
    <xf numFmtId="0" fontId="3"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3" fillId="0" borderId="0" xfId="19" applyFill="1"/>
    <xf numFmtId="43" fontId="3" fillId="0" borderId="0" xfId="19" applyNumberFormat="1" applyFill="1"/>
    <xf numFmtId="0" fontId="3" fillId="0" borderId="0" xfId="19" applyFill="1" applyAlignment="1">
      <alignment horizontal="center"/>
    </xf>
    <xf numFmtId="43" fontId="3" fillId="0" borderId="11" xfId="1" applyFill="1" applyBorder="1"/>
    <xf numFmtId="0" fontId="3" fillId="0" borderId="3" xfId="19" applyFill="1" applyBorder="1"/>
    <xf numFmtId="0" fontId="3" fillId="0" borderId="2" xfId="19" applyFill="1" applyBorder="1" applyAlignment="1">
      <alignment horizontal="center" vertical="center"/>
    </xf>
    <xf numFmtId="43" fontId="13" fillId="0" borderId="12" xfId="1" applyFont="1" applyFill="1" applyBorder="1"/>
    <xf numFmtId="43" fontId="13" fillId="0" borderId="83" xfId="1" applyFont="1" applyFill="1" applyBorder="1"/>
    <xf numFmtId="0" fontId="3" fillId="0" borderId="3" xfId="19" applyFont="1" applyFill="1" applyBorder="1"/>
    <xf numFmtId="0" fontId="17" fillId="0" borderId="3" xfId="19" applyFont="1" applyFill="1" applyBorder="1"/>
    <xf numFmtId="0" fontId="3" fillId="0" borderId="0" xfId="19" applyAlignment="1">
      <alignment horizontal="center"/>
    </xf>
    <xf numFmtId="0" fontId="3" fillId="0" borderId="1" xfId="19" applyBorder="1" applyAlignment="1">
      <alignment horizontal="center" vertical="center"/>
    </xf>
    <xf numFmtId="0" fontId="3" fillId="0" borderId="2" xfId="19" applyBorder="1" applyAlignment="1">
      <alignment horizontal="center" vertical="center"/>
    </xf>
    <xf numFmtId="0" fontId="10" fillId="0" borderId="0" xfId="19" applyFont="1"/>
    <xf numFmtId="0" fontId="3" fillId="0" borderId="31" xfId="19" applyBorder="1"/>
    <xf numFmtId="0" fontId="3" fillId="0" borderId="23" xfId="19" applyBorder="1"/>
    <xf numFmtId="0" fontId="3" fillId="0" borderId="20" xfId="19" applyBorder="1"/>
    <xf numFmtId="0" fontId="3" fillId="0" borderId="18" xfId="19" applyBorder="1"/>
    <xf numFmtId="0" fontId="3" fillId="0" borderId="14" xfId="19" applyBorder="1"/>
    <xf numFmtId="0" fontId="3" fillId="0" borderId="12" xfId="19" applyBorder="1"/>
    <xf numFmtId="0" fontId="3" fillId="0" borderId="11" xfId="19" applyBorder="1"/>
    <xf numFmtId="0" fontId="3" fillId="0" borderId="11" xfId="19" applyBorder="1" applyAlignment="1">
      <alignment horizontal="center"/>
    </xf>
    <xf numFmtId="0" fontId="3" fillId="0" borderId="8" xfId="19" applyBorder="1"/>
    <xf numFmtId="0" fontId="3" fillId="0" borderId="15" xfId="19" applyBorder="1" applyAlignment="1">
      <alignment horizontal="center"/>
    </xf>
    <xf numFmtId="0" fontId="3" fillId="0" borderId="10" xfId="19" applyBorder="1" applyAlignment="1">
      <alignment horizontal="center"/>
    </xf>
    <xf numFmtId="0" fontId="3" fillId="0" borderId="16" xfId="19" applyBorder="1" applyAlignment="1">
      <alignment horizontal="center"/>
    </xf>
    <xf numFmtId="0" fontId="3" fillId="0" borderId="13" xfId="19" applyBorder="1"/>
    <xf numFmtId="0" fontId="3" fillId="0" borderId="9" xfId="19" applyBorder="1"/>
    <xf numFmtId="0" fontId="3" fillId="0" borderId="4" xfId="19" applyBorder="1" applyAlignment="1">
      <alignment horizontal="center"/>
    </xf>
    <xf numFmtId="0" fontId="10" fillId="0" borderId="0" xfId="19" applyFont="1" applyFill="1"/>
    <xf numFmtId="43" fontId="3" fillId="0" borderId="35" xfId="1" applyFont="1" applyFill="1" applyBorder="1" applyAlignment="1"/>
    <xf numFmtId="43" fontId="3" fillId="0" borderId="20" xfId="1" applyFont="1" applyFill="1" applyBorder="1" applyAlignment="1"/>
    <xf numFmtId="0" fontId="3" fillId="0" borderId="3" xfId="19" applyFont="1" applyFill="1" applyBorder="1" applyAlignment="1"/>
    <xf numFmtId="43" fontId="3" fillId="0" borderId="5" xfId="1" applyFont="1" applyFill="1" applyBorder="1" applyAlignment="1"/>
    <xf numFmtId="43" fontId="3" fillId="0" borderId="74" xfId="1" applyFont="1" applyFill="1" applyBorder="1" applyAlignment="1"/>
    <xf numFmtId="43" fontId="3" fillId="0" borderId="26" xfId="1" applyFont="1" applyFill="1" applyBorder="1" applyAlignment="1"/>
    <xf numFmtId="43" fontId="3" fillId="0" borderId="15" xfId="1" applyFont="1" applyFill="1" applyBorder="1" applyAlignment="1"/>
    <xf numFmtId="43" fontId="3" fillId="0" borderId="53" xfId="1" applyFont="1" applyFill="1" applyBorder="1" applyAlignment="1"/>
    <xf numFmtId="43" fontId="3" fillId="0" borderId="41" xfId="1" applyFont="1" applyFill="1" applyBorder="1" applyAlignment="1"/>
    <xf numFmtId="0" fontId="3" fillId="0" borderId="26" xfId="19" applyFont="1" applyFill="1" applyBorder="1" applyAlignment="1"/>
    <xf numFmtId="0" fontId="13" fillId="0" borderId="26" xfId="19" applyFont="1" applyFill="1" applyBorder="1" applyAlignment="1"/>
    <xf numFmtId="43" fontId="3" fillId="0" borderId="41" xfId="1" applyFont="1" applyFill="1" applyBorder="1" applyAlignment="1">
      <alignment horizontal="right"/>
    </xf>
    <xf numFmtId="43" fontId="3" fillId="0" borderId="19" xfId="1" applyFont="1" applyFill="1" applyBorder="1" applyAlignment="1">
      <alignment horizontal="right"/>
    </xf>
    <xf numFmtId="0" fontId="3" fillId="0" borderId="18" xfId="19" applyFont="1" applyFill="1" applyBorder="1" applyAlignment="1"/>
    <xf numFmtId="0" fontId="13" fillId="0" borderId="18" xfId="19" applyFont="1" applyFill="1" applyBorder="1" applyAlignment="1"/>
    <xf numFmtId="43" fontId="3" fillId="0" borderId="35" xfId="1" applyFill="1" applyBorder="1"/>
    <xf numFmtId="43" fontId="3" fillId="0" borderId="34" xfId="1" applyFill="1" applyBorder="1"/>
    <xf numFmtId="0" fontId="16" fillId="0" borderId="38" xfId="19" applyFont="1" applyFill="1" applyBorder="1" applyAlignment="1">
      <alignment horizontal="center"/>
    </xf>
    <xf numFmtId="0" fontId="16" fillId="0" borderId="26" xfId="19" applyFont="1" applyFill="1" applyBorder="1" applyAlignment="1">
      <alignment horizontal="center"/>
    </xf>
    <xf numFmtId="0" fontId="16" fillId="0" borderId="3" xfId="19" applyFont="1" applyFill="1" applyBorder="1"/>
    <xf numFmtId="43" fontId="3" fillId="0" borderId="27" xfId="1" applyFill="1" applyBorder="1"/>
    <xf numFmtId="0" fontId="16" fillId="0" borderId="3" xfId="19" applyFont="1" applyFill="1" applyBorder="1" applyAlignment="1">
      <alignment horizontal="center"/>
    </xf>
    <xf numFmtId="43" fontId="3" fillId="0" borderId="3" xfId="1" applyFont="1" applyFill="1" applyBorder="1" applyAlignment="1"/>
    <xf numFmtId="0" fontId="3" fillId="0" borderId="26" xfId="19" applyFill="1" applyBorder="1"/>
    <xf numFmtId="43" fontId="3" fillId="0" borderId="10" xfId="1" applyFill="1" applyBorder="1"/>
    <xf numFmtId="0" fontId="16" fillId="0" borderId="0" xfId="19" applyFont="1" applyFill="1" applyAlignment="1">
      <alignment horizontal="center"/>
    </xf>
    <xf numFmtId="43" fontId="3" fillId="0" borderId="18" xfId="1" applyFill="1" applyBorder="1"/>
    <xf numFmtId="43" fontId="3" fillId="0" borderId="33" xfId="1" applyFill="1" applyBorder="1"/>
    <xf numFmtId="0" fontId="16" fillId="0" borderId="18" xfId="19" applyFont="1" applyFill="1" applyBorder="1" applyAlignment="1">
      <alignment horizontal="center"/>
    </xf>
    <xf numFmtId="0" fontId="3" fillId="0" borderId="18" xfId="19" applyFill="1" applyBorder="1"/>
    <xf numFmtId="49" fontId="3" fillId="0" borderId="8" xfId="19" applyNumberFormat="1" applyFill="1" applyBorder="1" applyAlignment="1">
      <alignment horizontal="center"/>
    </xf>
    <xf numFmtId="49" fontId="3" fillId="0" borderId="11" xfId="19" applyNumberFormat="1" applyFill="1" applyBorder="1" applyAlignment="1">
      <alignment horizontal="center"/>
    </xf>
    <xf numFmtId="0" fontId="3" fillId="0" borderId="9" xfId="19" applyFill="1" applyBorder="1" applyAlignment="1">
      <alignment horizontal="center"/>
    </xf>
    <xf numFmtId="0" fontId="3" fillId="0" borderId="4" xfId="19" applyFill="1" applyBorder="1" applyAlignment="1">
      <alignment horizontal="center"/>
    </xf>
    <xf numFmtId="0" fontId="5" fillId="0" borderId="0" xfId="19" applyFont="1" applyFill="1" applyAlignment="1">
      <alignment horizontal="center"/>
    </xf>
    <xf numFmtId="0" fontId="3" fillId="0" borderId="0" xfId="19" applyFont="1" applyFill="1"/>
    <xf numFmtId="43" fontId="0" fillId="0" borderId="0" xfId="1" applyFont="1" applyFill="1"/>
    <xf numFmtId="43" fontId="0" fillId="0" borderId="11" xfId="1" applyFont="1" applyFill="1" applyBorder="1"/>
    <xf numFmtId="0" fontId="3" fillId="0" borderId="8" xfId="19" applyFill="1" applyBorder="1"/>
    <xf numFmtId="0" fontId="3" fillId="0" borderId="0" xfId="19" applyFill="1" applyBorder="1"/>
    <xf numFmtId="0" fontId="3" fillId="0" borderId="63" xfId="19" applyFill="1" applyBorder="1"/>
    <xf numFmtId="43" fontId="17" fillId="0" borderId="33" xfId="1" applyFont="1" applyFill="1" applyBorder="1" applyAlignment="1">
      <alignment horizontal="center"/>
    </xf>
    <xf numFmtId="0" fontId="16" fillId="0" borderId="0" xfId="19" applyFont="1" applyFill="1"/>
    <xf numFmtId="0" fontId="3" fillId="0" borderId="0" xfId="19" applyFill="1" applyAlignment="1">
      <alignment horizontal="right"/>
    </xf>
    <xf numFmtId="0" fontId="15" fillId="0" borderId="0" xfId="19" applyFont="1" applyFill="1"/>
    <xf numFmtId="43" fontId="3" fillId="0" borderId="81" xfId="1" applyFill="1" applyBorder="1"/>
    <xf numFmtId="14" fontId="3" fillId="0" borderId="18" xfId="19" applyNumberFormat="1" applyFill="1" applyBorder="1"/>
    <xf numFmtId="0" fontId="3" fillId="0" borderId="1" xfId="19" applyFill="1" applyBorder="1"/>
    <xf numFmtId="43" fontId="3" fillId="0" borderId="5" xfId="19" applyNumberFormat="1" applyFont="1" applyFill="1" applyBorder="1" applyAlignment="1">
      <alignment horizontal="center"/>
    </xf>
    <xf numFmtId="43" fontId="3" fillId="0" borderId="7" xfId="19" applyNumberFormat="1" applyFont="1" applyFill="1" applyBorder="1" applyAlignment="1"/>
    <xf numFmtId="1" fontId="3" fillId="0" borderId="0" xfId="19" applyNumberFormat="1"/>
    <xf numFmtId="0" fontId="3" fillId="0" borderId="26" xfId="19" applyBorder="1"/>
    <xf numFmtId="1" fontId="3" fillId="0" borderId="0" xfId="19" applyNumberFormat="1" applyFont="1"/>
    <xf numFmtId="49" fontId="3" fillId="0" borderId="0" xfId="19" applyNumberFormat="1" applyAlignment="1">
      <alignment horizontal="center"/>
    </xf>
    <xf numFmtId="0" fontId="22" fillId="0" borderId="0" xfId="19" applyFont="1" applyAlignment="1">
      <alignment horizontal="center"/>
    </xf>
    <xf numFmtId="0" fontId="22" fillId="0" borderId="0" xfId="19" applyFont="1" applyAlignment="1">
      <alignment horizontal="center" vertical="center"/>
    </xf>
    <xf numFmtId="0" fontId="3" fillId="0" borderId="0" xfId="19" applyAlignment="1">
      <alignment vertical="center"/>
    </xf>
    <xf numFmtId="49" fontId="6" fillId="0" borderId="0" xfId="19" applyNumberFormat="1" applyFont="1" applyAlignment="1">
      <alignment horizontal="center"/>
    </xf>
    <xf numFmtId="14" fontId="22" fillId="0" borderId="0" xfId="19" applyNumberFormat="1" applyFont="1" applyBorder="1" applyAlignment="1">
      <alignment horizontal="center"/>
    </xf>
    <xf numFmtId="14" fontId="3" fillId="0" borderId="0" xfId="19" applyNumberFormat="1" applyAlignment="1">
      <alignment horizontal="center"/>
    </xf>
    <xf numFmtId="0" fontId="3" fillId="0" borderId="23" xfId="19" applyFill="1" applyBorder="1"/>
    <xf numFmtId="0" fontId="3" fillId="0" borderId="30" xfId="19" applyFill="1" applyBorder="1"/>
    <xf numFmtId="0" fontId="3" fillId="0" borderId="31" xfId="19" applyFill="1" applyBorder="1"/>
    <xf numFmtId="0" fontId="3" fillId="0" borderId="29" xfId="19" applyFill="1" applyBorder="1"/>
    <xf numFmtId="0" fontId="3" fillId="0" borderId="37" xfId="19" applyFill="1" applyBorder="1" applyAlignment="1">
      <alignment horizontal="center" vertical="center" wrapText="1"/>
    </xf>
    <xf numFmtId="0" fontId="3" fillId="0" borderId="2" xfId="19" applyFont="1" applyFill="1" applyBorder="1" applyAlignment="1">
      <alignment horizontal="center" vertical="center"/>
    </xf>
    <xf numFmtId="0" fontId="3" fillId="0" borderId="0" xfId="19" applyFill="1" applyBorder="1" applyAlignment="1">
      <alignment horizontal="center"/>
    </xf>
    <xf numFmtId="43" fontId="3" fillId="0" borderId="0" xfId="19" applyNumberFormat="1" applyFill="1" applyBorder="1" applyAlignment="1">
      <alignment horizontal="center"/>
    </xf>
    <xf numFmtId="43" fontId="3" fillId="0" borderId="20" xfId="19" applyNumberFormat="1" applyFill="1" applyBorder="1"/>
    <xf numFmtId="0" fontId="3" fillId="0" borderId="18" xfId="19" applyFont="1" applyFill="1" applyBorder="1"/>
    <xf numFmtId="0" fontId="3" fillId="0" borderId="23" xfId="19" applyFont="1" applyFill="1" applyBorder="1"/>
    <xf numFmtId="0" fontId="3" fillId="0" borderId="31" xfId="19" applyFill="1" applyBorder="1" applyAlignment="1">
      <alignment horizontal="right"/>
    </xf>
    <xf numFmtId="0" fontId="3" fillId="0" borderId="19" xfId="19" applyFill="1" applyBorder="1" applyAlignment="1">
      <alignment horizontal="right"/>
    </xf>
    <xf numFmtId="0" fontId="3" fillId="0" borderId="26" xfId="19" applyFont="1" applyFill="1" applyBorder="1"/>
    <xf numFmtId="43" fontId="3" fillId="0" borderId="29" xfId="1" applyFill="1" applyBorder="1" applyAlignment="1">
      <alignment horizontal="right"/>
    </xf>
    <xf numFmtId="0" fontId="6" fillId="0" borderId="0" xfId="19" applyFont="1" applyFill="1" applyAlignment="1">
      <alignment horizontal="center"/>
    </xf>
    <xf numFmtId="0" fontId="16" fillId="0" borderId="0" xfId="19" applyFont="1" applyAlignment="1">
      <alignment horizontal="center"/>
    </xf>
    <xf numFmtId="0" fontId="3" fillId="0" borderId="30" xfId="19" applyBorder="1"/>
    <xf numFmtId="0" fontId="3" fillId="0" borderId="29" xfId="19" applyBorder="1"/>
    <xf numFmtId="0" fontId="3" fillId="0" borderId="37" xfId="19" applyBorder="1" applyAlignment="1">
      <alignment horizontal="center" vertical="center" wrapText="1"/>
    </xf>
    <xf numFmtId="0" fontId="3" fillId="0" borderId="0" xfId="19" applyBorder="1" applyAlignment="1">
      <alignment horizontal="center"/>
    </xf>
    <xf numFmtId="43" fontId="3" fillId="0" borderId="0" xfId="19" applyNumberFormat="1" applyBorder="1" applyAlignment="1">
      <alignment horizontal="center"/>
    </xf>
    <xf numFmtId="0" fontId="3" fillId="0" borderId="0" xfId="19" applyBorder="1"/>
    <xf numFmtId="0" fontId="3" fillId="0" borderId="3" xfId="19" applyFont="1" applyBorder="1"/>
    <xf numFmtId="43" fontId="3" fillId="0" borderId="20" xfId="19" applyNumberFormat="1" applyBorder="1"/>
    <xf numFmtId="43" fontId="3" fillId="0" borderId="19" xfId="19" applyNumberFormat="1" applyBorder="1"/>
    <xf numFmtId="0" fontId="3" fillId="0" borderId="31" xfId="19" applyBorder="1" applyAlignment="1">
      <alignment horizontal="right"/>
    </xf>
    <xf numFmtId="0" fontId="3" fillId="0" borderId="19" xfId="19" applyBorder="1" applyAlignment="1">
      <alignment horizontal="right"/>
    </xf>
    <xf numFmtId="0" fontId="3" fillId="0" borderId="1" xfId="19" applyBorder="1"/>
    <xf numFmtId="0" fontId="6" fillId="0" borderId="0" xfId="19" applyFont="1" applyAlignment="1">
      <alignment horizontal="center"/>
    </xf>
    <xf numFmtId="0" fontId="17" fillId="0" borderId="0" xfId="19" applyFont="1" applyFill="1" applyBorder="1"/>
    <xf numFmtId="0" fontId="17" fillId="0" borderId="0" xfId="19" applyFont="1" applyFill="1"/>
    <xf numFmtId="0" fontId="15" fillId="0" borderId="0" xfId="19" applyFont="1" applyFill="1" applyAlignment="1">
      <alignment horizontal="left"/>
    </xf>
    <xf numFmtId="43" fontId="0" fillId="0" borderId="52" xfId="1" applyFont="1" applyFill="1" applyBorder="1"/>
    <xf numFmtId="0" fontId="3" fillId="0" borderId="72" xfId="19" applyFill="1" applyBorder="1"/>
    <xf numFmtId="0" fontId="3" fillId="0" borderId="12" xfId="19" applyFont="1" applyFill="1" applyBorder="1"/>
    <xf numFmtId="0" fontId="3" fillId="0" borderId="71" xfId="19" applyFill="1" applyBorder="1"/>
    <xf numFmtId="0" fontId="3" fillId="0" borderId="29" xfId="19" applyFont="1" applyFill="1" applyBorder="1"/>
    <xf numFmtId="0" fontId="3" fillId="0" borderId="70" xfId="19" applyFill="1" applyBorder="1"/>
    <xf numFmtId="0" fontId="3" fillId="0" borderId="69" xfId="19" applyFont="1" applyFill="1" applyBorder="1"/>
    <xf numFmtId="0" fontId="38" fillId="0" borderId="0" xfId="19" applyFont="1" applyFill="1"/>
    <xf numFmtId="0" fontId="10" fillId="0" borderId="0" xfId="19" applyFont="1" applyFill="1" applyBorder="1" applyAlignment="1">
      <alignment horizontal="right"/>
    </xf>
    <xf numFmtId="0" fontId="10" fillId="0" borderId="0" xfId="19" applyFont="1" applyFill="1" applyBorder="1"/>
    <xf numFmtId="49" fontId="10" fillId="0" borderId="0" xfId="19" applyNumberFormat="1" applyFont="1" applyFill="1" applyBorder="1" applyAlignment="1">
      <alignment horizontal="center"/>
    </xf>
    <xf numFmtId="43" fontId="3" fillId="0" borderId="0" xfId="1" applyFill="1" applyBorder="1"/>
    <xf numFmtId="10" fontId="3" fillId="0" borderId="0" xfId="13" applyNumberFormat="1" applyFill="1" applyBorder="1"/>
    <xf numFmtId="49" fontId="3" fillId="0" borderId="0" xfId="19" applyNumberFormat="1" applyFill="1" applyBorder="1" applyAlignment="1">
      <alignment horizontal="center"/>
    </xf>
    <xf numFmtId="0" fontId="13" fillId="0" borderId="0" xfId="19" applyFont="1" applyFill="1" applyAlignment="1">
      <alignment horizontal="center" vertical="center" textRotation="180" wrapText="1"/>
    </xf>
    <xf numFmtId="49" fontId="3" fillId="0" borderId="3" xfId="19" applyNumberFormat="1" applyFill="1" applyBorder="1" applyAlignment="1">
      <alignment horizontal="center"/>
    </xf>
    <xf numFmtId="49" fontId="3" fillId="0" borderId="18" xfId="19" applyNumberFormat="1" applyFill="1" applyBorder="1" applyAlignment="1">
      <alignment horizontal="center"/>
    </xf>
    <xf numFmtId="0" fontId="3" fillId="0" borderId="11" xfId="19" applyFill="1" applyBorder="1" applyAlignment="1">
      <alignment horizontal="center"/>
    </xf>
    <xf numFmtId="0" fontId="3" fillId="0" borderId="10" xfId="19" applyFill="1" applyBorder="1" applyAlignment="1">
      <alignment horizontal="center"/>
    </xf>
    <xf numFmtId="0" fontId="3" fillId="0" borderId="9" xfId="19" applyFill="1" applyBorder="1"/>
    <xf numFmtId="0" fontId="10" fillId="0" borderId="0" xfId="19" applyFont="1" applyAlignment="1">
      <alignment horizontal="left"/>
    </xf>
    <xf numFmtId="0" fontId="17" fillId="0" borderId="0" xfId="19" applyFont="1" applyBorder="1"/>
    <xf numFmtId="0" fontId="16" fillId="0" borderId="0" xfId="19" applyFont="1" applyBorder="1" applyAlignment="1">
      <alignment horizontal="center"/>
    </xf>
    <xf numFmtId="49" fontId="3" fillId="0" borderId="23" xfId="19" applyNumberFormat="1" applyBorder="1" applyAlignment="1">
      <alignment horizontal="center"/>
    </xf>
    <xf numFmtId="0" fontId="13" fillId="0" borderId="0" xfId="19" applyFont="1" applyAlignment="1">
      <alignment horizontal="center" vertical="center" textRotation="180" wrapText="1"/>
    </xf>
    <xf numFmtId="0" fontId="17" fillId="0" borderId="11" xfId="19" applyFont="1" applyBorder="1" applyAlignment="1">
      <alignment horizontal="center"/>
    </xf>
    <xf numFmtId="0" fontId="10" fillId="0" borderId="0" xfId="19" applyFont="1" applyBorder="1" applyAlignment="1">
      <alignment horizontal="right"/>
    </xf>
    <xf numFmtId="0" fontId="10" fillId="0" borderId="0" xfId="19" applyFont="1" applyBorder="1"/>
    <xf numFmtId="49" fontId="10" fillId="0" borderId="0" xfId="19" applyNumberFormat="1" applyFont="1" applyBorder="1" applyAlignment="1">
      <alignment horizontal="left"/>
    </xf>
    <xf numFmtId="0" fontId="3" fillId="0" borderId="52" xfId="19" applyBorder="1"/>
    <xf numFmtId="0" fontId="3" fillId="0" borderId="23" xfId="19" applyBorder="1" applyAlignment="1">
      <alignment horizontal="right"/>
    </xf>
    <xf numFmtId="0" fontId="3" fillId="0" borderId="38" xfId="19" applyBorder="1"/>
    <xf numFmtId="43" fontId="3" fillId="0" borderId="0" xfId="19" applyNumberFormat="1"/>
    <xf numFmtId="0" fontId="16" fillId="0" borderId="0" xfId="19" applyFont="1"/>
    <xf numFmtId="0" fontId="3" fillId="0" borderId="3" xfId="19" applyBorder="1" applyAlignment="1">
      <alignment horizontal="right"/>
    </xf>
    <xf numFmtId="0" fontId="16" fillId="0" borderId="26" xfId="19" applyFont="1" applyBorder="1"/>
    <xf numFmtId="0" fontId="3" fillId="0" borderId="18" xfId="19" applyBorder="1" applyAlignment="1">
      <alignment horizontal="right"/>
    </xf>
    <xf numFmtId="0" fontId="3" fillId="0" borderId="26" xfId="19" applyBorder="1" applyAlignment="1">
      <alignment horizontal="right"/>
    </xf>
    <xf numFmtId="0" fontId="3" fillId="0" borderId="5" xfId="19" applyBorder="1"/>
    <xf numFmtId="0" fontId="16" fillId="0" borderId="5" xfId="19" applyFont="1" applyBorder="1"/>
    <xf numFmtId="43" fontId="0" fillId="0" borderId="30" xfId="1" applyFont="1" applyFill="1" applyBorder="1"/>
    <xf numFmtId="0" fontId="3" fillId="0" borderId="3" xfId="19" quotePrefix="1" applyFont="1" applyFill="1" applyBorder="1"/>
    <xf numFmtId="43" fontId="3" fillId="0" borderId="8" xfId="1" applyFill="1" applyBorder="1"/>
    <xf numFmtId="0" fontId="3" fillId="0" borderId="8" xfId="19" applyFill="1" applyBorder="1" applyAlignment="1">
      <alignment horizontal="center"/>
    </xf>
    <xf numFmtId="0" fontId="3" fillId="0" borderId="0" xfId="19" applyFont="1" applyFill="1" applyAlignment="1">
      <alignment horizontal="center"/>
    </xf>
    <xf numFmtId="0" fontId="0" fillId="2" borderId="3" xfId="0" applyFill="1" applyBorder="1" applyProtection="1">
      <protection locked="0"/>
    </xf>
    <xf numFmtId="0" fontId="3" fillId="2" borderId="3" xfId="0" applyFont="1" applyFill="1" applyBorder="1" applyProtection="1">
      <protection locked="0"/>
    </xf>
    <xf numFmtId="43" fontId="13"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0" fillId="2" borderId="3" xfId="0" applyFont="1" applyFill="1" applyBorder="1" applyProtection="1">
      <protection locked="0"/>
    </xf>
    <xf numFmtId="43" fontId="0" fillId="0" borderId="17" xfId="1" applyFont="1" applyFill="1" applyBorder="1" applyProtection="1">
      <protection locked="0"/>
    </xf>
    <xf numFmtId="43" fontId="3" fillId="2" borderId="7" xfId="1" applyFont="1" applyFill="1" applyBorder="1" applyProtection="1">
      <protection locked="0"/>
    </xf>
    <xf numFmtId="0" fontId="43" fillId="2" borderId="3" xfId="0" applyFont="1" applyFill="1" applyBorder="1" applyProtection="1">
      <protection locked="0"/>
    </xf>
    <xf numFmtId="0" fontId="3"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3" fillId="2" borderId="7" xfId="1" applyFont="1" applyFill="1" applyBorder="1" applyProtection="1"/>
    <xf numFmtId="43" fontId="13" fillId="2" borderId="83" xfId="1" applyFont="1" applyFill="1" applyBorder="1" applyProtection="1">
      <protection locked="0"/>
    </xf>
    <xf numFmtId="43" fontId="13" fillId="2" borderId="36" xfId="1" applyFont="1" applyFill="1" applyBorder="1" applyProtection="1">
      <protection locked="0"/>
    </xf>
    <xf numFmtId="43" fontId="13" fillId="2" borderId="28" xfId="1" applyFont="1" applyFill="1" applyBorder="1" applyProtection="1">
      <protection locked="0"/>
    </xf>
    <xf numFmtId="43" fontId="13" fillId="2" borderId="53" xfId="1" applyFont="1" applyFill="1" applyBorder="1" applyProtection="1">
      <protection locked="0"/>
    </xf>
    <xf numFmtId="43" fontId="13" fillId="2" borderId="3" xfId="1" applyFont="1" applyFill="1" applyBorder="1" applyProtection="1">
      <protection locked="0"/>
    </xf>
    <xf numFmtId="43" fontId="13" fillId="2" borderId="18" xfId="1" applyFont="1" applyFill="1" applyBorder="1" applyProtection="1">
      <protection locked="0"/>
    </xf>
    <xf numFmtId="43" fontId="13"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3" fillId="2" borderId="19" xfId="1" applyFill="1" applyBorder="1" applyProtection="1">
      <protection locked="0"/>
    </xf>
    <xf numFmtId="43" fontId="3" fillId="2" borderId="33" xfId="1" applyFill="1" applyBorder="1" applyAlignment="1" applyProtection="1">
      <alignment horizontal="center"/>
      <protection locked="0"/>
    </xf>
    <xf numFmtId="43" fontId="3" fillId="2" borderId="20" xfId="1" applyFill="1" applyBorder="1" applyProtection="1">
      <protection locked="0"/>
    </xf>
    <xf numFmtId="43" fontId="3" fillId="2" borderId="7" xfId="1" applyFill="1" applyBorder="1" applyProtection="1">
      <protection locked="0"/>
    </xf>
    <xf numFmtId="43" fontId="3" fillId="2" borderId="17" xfId="1" applyFill="1" applyBorder="1" applyProtection="1">
      <protection locked="0"/>
    </xf>
    <xf numFmtId="43" fontId="3" fillId="2" borderId="38" xfId="1" applyFill="1" applyBorder="1" applyProtection="1">
      <protection locked="0"/>
    </xf>
    <xf numFmtId="43" fontId="3" fillId="2" borderId="6" xfId="1" applyFill="1" applyBorder="1" applyProtection="1">
      <protection locked="0"/>
    </xf>
    <xf numFmtId="43" fontId="3"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3" fillId="2" borderId="31" xfId="1" applyFill="1" applyBorder="1" applyProtection="1">
      <protection locked="0"/>
    </xf>
    <xf numFmtId="43" fontId="3"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3" fillId="2" borderId="33" xfId="1" applyFill="1" applyBorder="1" applyAlignment="1" applyProtection="1">
      <protection locked="0"/>
    </xf>
    <xf numFmtId="0" fontId="0" fillId="2" borderId="33" xfId="0" applyFill="1" applyBorder="1" applyAlignment="1" applyProtection="1">
      <protection locked="0"/>
    </xf>
    <xf numFmtId="10" fontId="3"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3"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3" fillId="2" borderId="6" xfId="13" applyNumberFormat="1" applyFill="1" applyBorder="1" applyProtection="1">
      <protection locked="0"/>
    </xf>
    <xf numFmtId="43" fontId="3" fillId="2" borderId="25" xfId="1" applyFill="1" applyBorder="1" applyProtection="1">
      <protection locked="0"/>
    </xf>
    <xf numFmtId="0" fontId="0" fillId="2" borderId="50" xfId="0" applyFill="1" applyBorder="1" applyProtection="1">
      <protection locked="0"/>
    </xf>
    <xf numFmtId="43" fontId="3" fillId="2" borderId="28" xfId="1" applyFill="1" applyBorder="1" applyAlignment="1" applyProtection="1">
      <protection locked="0"/>
    </xf>
    <xf numFmtId="43" fontId="3" fillId="2" borderId="47" xfId="1" applyFill="1" applyBorder="1" applyAlignment="1" applyProtection="1">
      <protection locked="0"/>
    </xf>
    <xf numFmtId="43" fontId="3" fillId="2" borderId="29" xfId="1" applyFill="1" applyBorder="1" applyProtection="1">
      <protection locked="0"/>
    </xf>
    <xf numFmtId="43" fontId="3" fillId="2" borderId="53" xfId="1" applyFill="1" applyBorder="1" applyProtection="1">
      <protection locked="0"/>
    </xf>
    <xf numFmtId="43" fontId="3" fillId="2" borderId="81" xfId="1" applyFill="1" applyBorder="1" applyProtection="1">
      <protection locked="0"/>
    </xf>
    <xf numFmtId="43" fontId="3" fillId="2" borderId="50" xfId="1" applyFill="1" applyBorder="1" applyProtection="1">
      <protection locked="0"/>
    </xf>
    <xf numFmtId="43" fontId="13" fillId="2" borderId="33" xfId="1" applyFont="1" applyFill="1" applyBorder="1" applyAlignment="1" applyProtection="1">
      <protection locked="0"/>
    </xf>
    <xf numFmtId="43" fontId="13" fillId="2" borderId="6" xfId="1" applyFont="1" applyFill="1" applyBorder="1" applyProtection="1">
      <protection locked="0"/>
    </xf>
    <xf numFmtId="43" fontId="13" fillId="2" borderId="25" xfId="1" applyFont="1" applyFill="1" applyBorder="1" applyProtection="1">
      <protection locked="0"/>
    </xf>
    <xf numFmtId="43" fontId="0" fillId="2" borderId="18" xfId="1" applyFont="1" applyFill="1" applyBorder="1" applyProtection="1">
      <protection locked="0"/>
    </xf>
    <xf numFmtId="43" fontId="3" fillId="2" borderId="18" xfId="1" applyFill="1" applyBorder="1" applyProtection="1">
      <protection locked="0"/>
    </xf>
    <xf numFmtId="0" fontId="0" fillId="0" borderId="3" xfId="0" applyFill="1" applyBorder="1" applyProtection="1"/>
    <xf numFmtId="43" fontId="3" fillId="2" borderId="9" xfId="1" applyFill="1" applyBorder="1" applyProtection="1">
      <protection locked="0"/>
    </xf>
    <xf numFmtId="0" fontId="3" fillId="2" borderId="18" xfId="0" applyFont="1" applyFill="1" applyBorder="1" applyProtection="1">
      <protection locked="0"/>
    </xf>
    <xf numFmtId="0" fontId="41" fillId="2" borderId="3" xfId="0" applyFont="1" applyFill="1" applyBorder="1" applyProtection="1">
      <protection locked="0"/>
    </xf>
    <xf numFmtId="0" fontId="40" fillId="2" borderId="3" xfId="0" applyFont="1" applyFill="1" applyBorder="1" applyProtection="1">
      <protection locked="0"/>
    </xf>
    <xf numFmtId="43" fontId="0" fillId="2" borderId="24" xfId="1" applyFont="1" applyFill="1" applyBorder="1" applyProtection="1">
      <protection locked="0"/>
    </xf>
    <xf numFmtId="0" fontId="17" fillId="2" borderId="26" xfId="0" applyFont="1" applyFill="1" applyBorder="1" applyAlignment="1" applyProtection="1">
      <alignment horizontal="center"/>
      <protection locked="0"/>
    </xf>
    <xf numFmtId="0" fontId="3" fillId="2" borderId="3" xfId="19" applyFill="1" applyBorder="1"/>
    <xf numFmtId="0" fontId="3" fillId="2" borderId="3" xfId="19" applyFill="1" applyBorder="1" applyProtection="1">
      <protection locked="0"/>
    </xf>
    <xf numFmtId="0" fontId="3" fillId="2" borderId="0" xfId="19" applyFill="1" applyProtection="1">
      <protection locked="0"/>
    </xf>
    <xf numFmtId="43" fontId="3" fillId="2" borderId="4" xfId="1" applyFill="1" applyBorder="1" applyProtection="1">
      <protection locked="0"/>
    </xf>
    <xf numFmtId="43" fontId="3" fillId="2" borderId="0" xfId="1" applyFill="1" applyProtection="1">
      <protection locked="0"/>
    </xf>
    <xf numFmtId="0" fontId="3" fillId="2" borderId="20" xfId="19" applyFill="1" applyBorder="1" applyProtection="1">
      <protection locked="0"/>
    </xf>
    <xf numFmtId="43" fontId="3" fillId="2" borderId="27" xfId="1" applyFill="1" applyBorder="1" applyProtection="1">
      <protection locked="0"/>
    </xf>
    <xf numFmtId="0" fontId="16" fillId="2" borderId="26" xfId="19" applyFont="1" applyFill="1" applyBorder="1" applyAlignment="1">
      <alignment horizontal="center"/>
    </xf>
    <xf numFmtId="43" fontId="3" fillId="2" borderId="82" xfId="1" applyFill="1" applyBorder="1" applyProtection="1">
      <protection locked="0"/>
    </xf>
    <xf numFmtId="43" fontId="3" fillId="2" borderId="26" xfId="1" applyFont="1" applyFill="1" applyBorder="1" applyAlignment="1" applyProtection="1">
      <protection locked="0"/>
    </xf>
    <xf numFmtId="43" fontId="3" fillId="2" borderId="81" xfId="1" applyFont="1" applyFill="1" applyBorder="1" applyAlignment="1"/>
    <xf numFmtId="43" fontId="3" fillId="2" borderId="81" xfId="1" applyFont="1" applyFill="1" applyBorder="1" applyAlignment="1" applyProtection="1">
      <protection locked="0"/>
    </xf>
    <xf numFmtId="43" fontId="3" fillId="2" borderId="7" xfId="1" applyFont="1" applyFill="1" applyBorder="1" applyAlignment="1" applyProtection="1">
      <protection locked="0"/>
    </xf>
    <xf numFmtId="43" fontId="3" fillId="2" borderId="25" xfId="1" applyFont="1" applyFill="1" applyBorder="1" applyAlignment="1" applyProtection="1">
      <protection locked="0"/>
    </xf>
    <xf numFmtId="43" fontId="0" fillId="2" borderId="0" xfId="1" applyFont="1" applyFill="1" applyProtection="1">
      <protection locked="0"/>
    </xf>
    <xf numFmtId="43" fontId="13"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3" fillId="2" borderId="26" xfId="1" applyFont="1" applyFill="1" applyBorder="1" applyProtection="1">
      <protection locked="0"/>
    </xf>
    <xf numFmtId="0" fontId="3" fillId="2" borderId="26" xfId="0" applyFont="1" applyFill="1" applyBorder="1" applyProtection="1">
      <protection locked="0"/>
    </xf>
    <xf numFmtId="0" fontId="3" fillId="0" borderId="0" xfId="19" applyProtection="1">
      <protection locked="0"/>
    </xf>
    <xf numFmtId="0" fontId="3" fillId="2" borderId="26" xfId="19" applyFill="1" applyBorder="1" applyProtection="1">
      <protection locked="0"/>
    </xf>
    <xf numFmtId="0" fontId="3" fillId="2" borderId="26" xfId="19" applyFont="1" applyFill="1" applyBorder="1" applyProtection="1">
      <protection locked="0"/>
    </xf>
    <xf numFmtId="43" fontId="3" fillId="0" borderId="26" xfId="19" applyNumberFormat="1" applyFill="1" applyBorder="1" applyProtection="1"/>
    <xf numFmtId="43" fontId="3" fillId="2" borderId="24" xfId="1" applyFill="1" applyBorder="1" applyProtection="1">
      <protection locked="0"/>
    </xf>
    <xf numFmtId="43" fontId="3" fillId="2" borderId="20" xfId="1" applyFont="1" applyFill="1" applyBorder="1" applyProtection="1">
      <protection locked="0"/>
    </xf>
    <xf numFmtId="0" fontId="3" fillId="2" borderId="18" xfId="19" applyFill="1" applyBorder="1" applyProtection="1">
      <protection locked="0"/>
    </xf>
    <xf numFmtId="43" fontId="3" fillId="2" borderId="31" xfId="1" applyFont="1" applyFill="1" applyBorder="1" applyProtection="1">
      <protection locked="0"/>
    </xf>
    <xf numFmtId="0" fontId="3" fillId="2" borderId="18" xfId="19" applyFont="1" applyFill="1" applyBorder="1" applyProtection="1">
      <protection locked="0"/>
    </xf>
    <xf numFmtId="0" fontId="3" fillId="2" borderId="19" xfId="19" applyFill="1" applyBorder="1" applyProtection="1">
      <protection locked="0"/>
    </xf>
    <xf numFmtId="14" fontId="3" fillId="2" borderId="33" xfId="19" applyNumberFormat="1" applyFill="1" applyBorder="1" applyAlignment="1" applyProtection="1">
      <alignment horizontal="center"/>
      <protection locked="0"/>
    </xf>
    <xf numFmtId="14" fontId="3" fillId="2" borderId="33" xfId="1" applyNumberFormat="1" applyFill="1" applyBorder="1" applyAlignment="1" applyProtection="1">
      <protection locked="0"/>
    </xf>
    <xf numFmtId="0" fontId="3" fillId="2" borderId="95" xfId="19" applyFill="1" applyBorder="1" applyAlignment="1" applyProtection="1">
      <protection locked="0"/>
    </xf>
    <xf numFmtId="49" fontId="3" fillId="2" borderId="3" xfId="19" applyNumberFormat="1" applyFont="1" applyFill="1" applyBorder="1" applyProtection="1">
      <protection locked="0"/>
    </xf>
    <xf numFmtId="14" fontId="3" fillId="2" borderId="7" xfId="19" applyNumberFormat="1" applyFill="1" applyBorder="1" applyAlignment="1" applyProtection="1">
      <alignment horizontal="center"/>
      <protection locked="0"/>
    </xf>
    <xf numFmtId="10" fontId="3" fillId="2" borderId="7" xfId="13" applyNumberFormat="1" applyFont="1" applyFill="1" applyBorder="1" applyAlignment="1" applyProtection="1">
      <protection locked="0"/>
    </xf>
    <xf numFmtId="43" fontId="3" fillId="2" borderId="7" xfId="1" applyFont="1" applyFill="1" applyBorder="1" applyAlignment="1" applyProtection="1">
      <alignment horizontal="center"/>
      <protection locked="0"/>
    </xf>
    <xf numFmtId="0" fontId="3" fillId="2" borderId="68" xfId="19" applyFill="1" applyBorder="1" applyProtection="1">
      <protection locked="0"/>
    </xf>
    <xf numFmtId="0" fontId="3" fillId="2" borderId="7" xfId="19" applyFill="1" applyBorder="1" applyProtection="1">
      <protection locked="0"/>
    </xf>
    <xf numFmtId="0" fontId="3" fillId="2" borderId="6" xfId="19" applyFill="1" applyBorder="1" applyProtection="1">
      <protection locked="0"/>
    </xf>
    <xf numFmtId="0" fontId="25" fillId="2" borderId="3" xfId="19" applyFont="1" applyFill="1" applyBorder="1" applyProtection="1">
      <protection locked="0"/>
    </xf>
    <xf numFmtId="0" fontId="25" fillId="2" borderId="20" xfId="19" applyFont="1" applyFill="1" applyBorder="1" applyProtection="1">
      <protection locked="0"/>
    </xf>
    <xf numFmtId="43" fontId="3" fillId="0" borderId="7" xfId="1" applyFill="1" applyBorder="1" applyProtection="1"/>
    <xf numFmtId="0" fontId="3" fillId="0" borderId="3" xfId="19" applyFill="1" applyBorder="1" applyProtection="1"/>
    <xf numFmtId="0" fontId="3" fillId="0" borderId="20" xfId="19" applyFill="1" applyBorder="1" applyProtection="1"/>
    <xf numFmtId="0" fontId="3" fillId="0" borderId="7" xfId="19" applyFill="1" applyBorder="1" applyProtection="1"/>
    <xf numFmtId="10" fontId="3" fillId="0" borderId="7" xfId="13" applyNumberFormat="1" applyFill="1" applyBorder="1" applyProtection="1"/>
    <xf numFmtId="43" fontId="3" fillId="0" borderId="29" xfId="1" applyFill="1" applyBorder="1" applyProtection="1"/>
    <xf numFmtId="0" fontId="3" fillId="0" borderId="68" xfId="19" applyFill="1" applyBorder="1" applyProtection="1"/>
    <xf numFmtId="49" fontId="3" fillId="0" borderId="3" xfId="19" applyNumberFormat="1" applyFill="1" applyBorder="1" applyAlignment="1" applyProtection="1">
      <alignment horizontal="left"/>
    </xf>
    <xf numFmtId="0" fontId="3" fillId="2" borderId="33" xfId="19" applyFill="1" applyBorder="1" applyAlignment="1" applyProtection="1">
      <protection locked="0"/>
    </xf>
    <xf numFmtId="0" fontId="3" fillId="2" borderId="47" xfId="19" applyFill="1" applyBorder="1" applyAlignment="1" applyProtection="1">
      <protection locked="0"/>
    </xf>
    <xf numFmtId="0" fontId="3" fillId="2" borderId="17" xfId="19" applyFill="1" applyBorder="1" applyProtection="1">
      <protection locked="0"/>
    </xf>
    <xf numFmtId="43" fontId="3" fillId="2" borderId="17" xfId="1" applyFont="1" applyFill="1" applyBorder="1" applyProtection="1">
      <protection locked="0"/>
    </xf>
    <xf numFmtId="49" fontId="3" fillId="2" borderId="18" xfId="19" applyNumberFormat="1" applyFill="1" applyBorder="1" applyAlignment="1" applyProtection="1">
      <alignment horizontal="left"/>
      <protection locked="0"/>
    </xf>
    <xf numFmtId="49" fontId="3" fillId="2" borderId="3" xfId="19" applyNumberFormat="1" applyFont="1" applyFill="1" applyBorder="1" applyAlignment="1" applyProtection="1">
      <alignment horizontal="left"/>
      <protection locked="0"/>
    </xf>
    <xf numFmtId="0" fontId="3" fillId="2" borderId="3" xfId="19" applyFont="1" applyFill="1" applyBorder="1" applyProtection="1">
      <protection locked="0"/>
    </xf>
    <xf numFmtId="49" fontId="3" fillId="2" borderId="3" xfId="19" quotePrefix="1" applyNumberFormat="1" applyFon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0" fontId="3" fillId="2" borderId="20" xfId="19" applyFill="1" applyBorder="1" applyAlignment="1" applyProtection="1">
      <alignment horizontal="right"/>
      <protection locked="0"/>
    </xf>
    <xf numFmtId="14" fontId="3" fillId="0" borderId="18" xfId="19" quotePrefix="1" applyNumberFormat="1" applyFill="1" applyBorder="1"/>
    <xf numFmtId="0" fontId="3" fillId="0" borderId="0" xfId="0" applyFont="1" applyAlignment="1">
      <alignment horizontal="center"/>
    </xf>
    <xf numFmtId="0" fontId="59" fillId="0" borderId="0" xfId="0" applyFont="1"/>
    <xf numFmtId="0" fontId="60" fillId="0" borderId="0" xfId="0" applyFont="1"/>
    <xf numFmtId="0" fontId="3" fillId="2" borderId="26" xfId="0" applyFont="1" applyFill="1" applyBorder="1" applyAlignment="1" applyProtection="1">
      <alignment horizontal="center"/>
      <protection locked="0"/>
    </xf>
    <xf numFmtId="43" fontId="60" fillId="0" borderId="0" xfId="0" applyNumberFormat="1" applyFont="1"/>
    <xf numFmtId="0" fontId="3"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3" fillId="2" borderId="3" xfId="0" applyFont="1" applyFill="1" applyBorder="1" applyAlignment="1" applyProtection="1">
      <alignment horizontal="center"/>
      <protection locked="0"/>
    </xf>
    <xf numFmtId="43" fontId="13" fillId="3" borderId="3" xfId="1" applyFont="1" applyFill="1" applyBorder="1" applyProtection="1">
      <protection locked="0"/>
    </xf>
    <xf numFmtId="43" fontId="13" fillId="2" borderId="3" xfId="1" applyFont="1" applyFill="1" applyBorder="1"/>
    <xf numFmtId="43" fontId="0" fillId="3" borderId="19" xfId="1" applyFont="1" applyFill="1" applyBorder="1"/>
    <xf numFmtId="43" fontId="0" fillId="3" borderId="20" xfId="1" applyFont="1" applyFill="1" applyBorder="1"/>
    <xf numFmtId="43" fontId="13"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3" fillId="2" borderId="10" xfId="1" applyFont="1" applyFill="1" applyBorder="1" applyProtection="1">
      <protection locked="0"/>
    </xf>
    <xf numFmtId="43" fontId="13" fillId="2" borderId="15" xfId="1" applyFont="1" applyFill="1" applyBorder="1" applyProtection="1">
      <protection locked="0"/>
    </xf>
    <xf numFmtId="43" fontId="15" fillId="0" borderId="28" xfId="1" applyFont="1" applyBorder="1" applyAlignment="1">
      <alignment horizontal="center"/>
    </xf>
    <xf numFmtId="43" fontId="13" fillId="2" borderId="64" xfId="1" applyFont="1" applyFill="1" applyBorder="1" applyProtection="1">
      <protection locked="0"/>
    </xf>
    <xf numFmtId="43" fontId="13" fillId="3" borderId="7" xfId="1" applyFont="1" applyFill="1" applyBorder="1"/>
    <xf numFmtId="10" fontId="60" fillId="0" borderId="0" xfId="13" applyNumberFormat="1" applyFont="1"/>
    <xf numFmtId="0" fontId="3"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2" fillId="0" borderId="0" xfId="0" applyFont="1" applyAlignment="1">
      <alignment horizontal="center"/>
    </xf>
    <xf numFmtId="0" fontId="4"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3" fillId="3" borderId="0" xfId="19" applyFill="1"/>
    <xf numFmtId="43" fontId="3" fillId="2" borderId="20" xfId="1" applyFont="1" applyFill="1" applyBorder="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0" xfId="0" applyFill="1"/>
    <xf numFmtId="0" fontId="61" fillId="3" borderId="0" xfId="0" applyFont="1" applyFill="1"/>
    <xf numFmtId="43" fontId="0" fillId="3" borderId="0" xfId="0" applyNumberFormat="1" applyFill="1"/>
    <xf numFmtId="43" fontId="3" fillId="3" borderId="0" xfId="0" applyNumberFormat="1" applyFont="1" applyFill="1"/>
    <xf numFmtId="0" fontId="0" fillId="3" borderId="3" xfId="0" applyFill="1" applyBorder="1" applyProtection="1">
      <protection locked="0"/>
    </xf>
    <xf numFmtId="43" fontId="61" fillId="3" borderId="0" xfId="0" applyNumberFormat="1" applyFont="1" applyFill="1"/>
    <xf numFmtId="10" fontId="61" fillId="0" borderId="0" xfId="13" applyNumberFormat="1" applyFont="1"/>
    <xf numFmtId="43" fontId="13" fillId="0" borderId="96" xfId="1" applyFont="1" applyFill="1" applyBorder="1"/>
    <xf numFmtId="43" fontId="0" fillId="0" borderId="97" xfId="0" applyNumberFormat="1" applyBorder="1"/>
    <xf numFmtId="0" fontId="6" fillId="0" borderId="0" xfId="0" applyFont="1" applyAlignment="1">
      <alignment horizontal="center"/>
    </xf>
    <xf numFmtId="0" fontId="16" fillId="0" borderId="0" xfId="0" applyFont="1" applyBorder="1" applyAlignment="1">
      <alignment horizontal="center"/>
    </xf>
    <xf numFmtId="0" fontId="0" fillId="0" borderId="1" xfId="0" applyBorder="1" applyAlignment="1">
      <alignment horizontal="center" vertical="center"/>
    </xf>
    <xf numFmtId="0" fontId="23" fillId="0" borderId="0" xfId="0" applyFont="1" applyAlignment="1">
      <alignment horizontal="center" vertical="center" textRotation="180" wrapText="1"/>
    </xf>
    <xf numFmtId="0" fontId="0" fillId="0" borderId="15" xfId="0" applyBorder="1" applyAlignment="1">
      <alignment horizontal="center"/>
    </xf>
    <xf numFmtId="0" fontId="16"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protection locked="0"/>
    </xf>
    <xf numFmtId="0" fontId="0" fillId="2" borderId="3" xfId="0" applyFill="1" applyBorder="1" applyAlignment="1" applyProtection="1">
      <protection locked="0"/>
    </xf>
    <xf numFmtId="0" fontId="20" fillId="2" borderId="3" xfId="0" applyFont="1" applyFill="1" applyBorder="1" applyAlignment="1" applyProtection="1">
      <protection locked="0"/>
    </xf>
    <xf numFmtId="43" fontId="3" fillId="2" borderId="3" xfId="1" applyFont="1" applyFill="1" applyBorder="1" applyProtection="1">
      <protection locked="0"/>
    </xf>
    <xf numFmtId="10" fontId="24"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3" fillId="0" borderId="26" xfId="0" applyFont="1" applyBorder="1"/>
    <xf numFmtId="43" fontId="0" fillId="0" borderId="33" xfId="1" applyFont="1" applyFill="1" applyBorder="1" applyProtection="1">
      <protection locked="0"/>
    </xf>
    <xf numFmtId="0" fontId="3" fillId="0" borderId="98" xfId="19" applyBorder="1"/>
    <xf numFmtId="0" fontId="3"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3" fillId="0" borderId="10" xfId="0" applyNumberFormat="1" applyFont="1" applyFill="1" applyBorder="1" applyAlignment="1">
      <alignment horizontal="center"/>
    </xf>
    <xf numFmtId="0" fontId="3" fillId="0" borderId="23" xfId="0" applyFont="1" applyFill="1" applyBorder="1"/>
    <xf numFmtId="43" fontId="3" fillId="2" borderId="7" xfId="1" applyFont="1" applyFill="1" applyBorder="1" applyAlignment="1" applyProtection="1">
      <alignment horizontal="right"/>
      <protection locked="0"/>
    </xf>
    <xf numFmtId="0" fontId="3" fillId="0" borderId="0" xfId="19" applyFill="1" applyAlignment="1">
      <alignment horizontal="center"/>
    </xf>
    <xf numFmtId="0" fontId="16" fillId="0" borderId="0" xfId="19" applyFont="1" applyFill="1" applyAlignment="1">
      <alignment horizontal="center"/>
    </xf>
    <xf numFmtId="0" fontId="3" fillId="0" borderId="0" xfId="19" applyFill="1" applyBorder="1" applyAlignment="1">
      <alignment horizontal="center"/>
    </xf>
    <xf numFmtId="0" fontId="3" fillId="0" borderId="0" xfId="19" applyAlignment="1">
      <alignment horizontal="center"/>
    </xf>
    <xf numFmtId="43" fontId="3" fillId="0" borderId="29" xfId="1" applyFill="1" applyBorder="1" applyAlignment="1">
      <alignment horizontal="right"/>
    </xf>
    <xf numFmtId="0" fontId="3" fillId="0" borderId="37" xfId="19" applyFill="1" applyBorder="1" applyAlignment="1">
      <alignment horizontal="center" vertical="center" wrapText="1"/>
    </xf>
    <xf numFmtId="0" fontId="3" fillId="0" borderId="0" xfId="19" applyBorder="1" applyAlignment="1">
      <alignment horizontal="center"/>
    </xf>
    <xf numFmtId="0" fontId="3"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3" fillId="2" borderId="41" xfId="0" applyFont="1" applyFill="1" applyBorder="1" applyProtection="1">
      <protection locked="0"/>
    </xf>
    <xf numFmtId="0" fontId="3" fillId="0" borderId="18" xfId="0" applyFont="1" applyBorder="1"/>
    <xf numFmtId="0" fontId="3" fillId="0" borderId="31" xfId="0" applyFont="1" applyBorder="1" applyAlignment="1">
      <alignment horizontal="right"/>
    </xf>
    <xf numFmtId="14" fontId="3" fillId="0" borderId="11" xfId="19" applyNumberFormat="1" applyBorder="1" applyAlignment="1">
      <alignment horizontal="center"/>
    </xf>
    <xf numFmtId="0" fontId="3" fillId="2" borderId="33" xfId="19" applyFill="1" applyBorder="1" applyProtection="1">
      <protection locked="0"/>
    </xf>
    <xf numFmtId="10" fontId="3" fillId="2" borderId="33" xfId="13" applyNumberFormat="1" applyFill="1" applyBorder="1" applyProtection="1">
      <protection locked="0"/>
    </xf>
    <xf numFmtId="0" fontId="3" fillId="2" borderId="47" xfId="19" applyFill="1" applyBorder="1" applyProtection="1">
      <protection locked="0"/>
    </xf>
    <xf numFmtId="0" fontId="17" fillId="0" borderId="0" xfId="19" applyFont="1"/>
    <xf numFmtId="43" fontId="3" fillId="2" borderId="28" xfId="1" applyFill="1" applyBorder="1" applyProtection="1">
      <protection locked="0"/>
    </xf>
    <xf numFmtId="43" fontId="3" fillId="2" borderId="47" xfId="1" applyFill="1" applyBorder="1" applyProtection="1">
      <protection locked="0"/>
    </xf>
    <xf numFmtId="49" fontId="10" fillId="0" borderId="0" xfId="19" applyNumberFormat="1" applyFont="1" applyAlignment="1">
      <alignment horizontal="left"/>
    </xf>
    <xf numFmtId="0" fontId="10" fillId="0" borderId="0" xfId="19" applyFont="1" applyAlignment="1">
      <alignment horizontal="right"/>
    </xf>
    <xf numFmtId="49" fontId="3" fillId="2" borderId="3" xfId="19" quotePrefix="1" applyNumberFormat="1" applyFill="1" applyBorder="1" applyAlignment="1" applyProtection="1">
      <alignment horizontal="left"/>
      <protection locked="0"/>
    </xf>
    <xf numFmtId="43" fontId="3" fillId="0" borderId="29" xfId="1" applyBorder="1" applyAlignment="1">
      <alignment horizontal="right"/>
    </xf>
    <xf numFmtId="0" fontId="6" fillId="0" borderId="0" xfId="19" applyFont="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3" fillId="0" borderId="0" xfId="19" applyNumberFormat="1" applyFont="1" applyFill="1" applyBorder="1" applyAlignment="1"/>
    <xf numFmtId="43" fontId="3" fillId="0" borderId="0" xfId="19" applyNumberFormat="1" applyFont="1" applyFill="1" applyBorder="1" applyAlignment="1">
      <alignment horizontal="center"/>
    </xf>
    <xf numFmtId="0" fontId="3"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2" borderId="62" xfId="0" applyFont="1" applyFill="1" applyBorder="1" applyAlignment="1" applyProtection="1">
      <alignment vertical="center"/>
      <protection locked="0"/>
    </xf>
    <xf numFmtId="0" fontId="17" fillId="2" borderId="62" xfId="0" applyFont="1" applyFill="1" applyBorder="1" applyProtection="1">
      <protection locked="0"/>
    </xf>
    <xf numFmtId="0" fontId="13" fillId="2" borderId="0" xfId="0" applyFont="1" applyFill="1" applyProtection="1">
      <protection locked="0"/>
    </xf>
    <xf numFmtId="0" fontId="13" fillId="2" borderId="0" xfId="0" applyFont="1" applyFill="1" applyAlignment="1" applyProtection="1">
      <alignment horizontal="center"/>
      <protection locked="0"/>
    </xf>
    <xf numFmtId="0" fontId="13" fillId="2" borderId="0" xfId="0" applyFont="1" applyFill="1" applyAlignment="1" applyProtection="1">
      <alignment horizontal="left"/>
      <protection locked="0"/>
    </xf>
    <xf numFmtId="0" fontId="13" fillId="2" borderId="0" xfId="0" quotePrefix="1" applyFont="1" applyFill="1" applyAlignment="1" applyProtection="1">
      <alignment horizontal="center"/>
      <protection locked="0"/>
    </xf>
    <xf numFmtId="0" fontId="3" fillId="2" borderId="0" xfId="0" applyFont="1" applyFill="1" applyProtection="1">
      <protection locked="0"/>
    </xf>
    <xf numFmtId="43" fontId="13" fillId="0" borderId="0" xfId="0" applyNumberFormat="1" applyFont="1" applyFill="1" applyBorder="1" applyAlignment="1" applyProtection="1">
      <alignment horizontal="center"/>
    </xf>
    <xf numFmtId="43" fontId="13" fillId="3" borderId="3" xfId="1" applyFont="1" applyFill="1" applyBorder="1" applyProtection="1"/>
    <xf numFmtId="0" fontId="3" fillId="3" borderId="3" xfId="0" applyFont="1" applyFill="1" applyBorder="1" applyProtection="1"/>
    <xf numFmtId="0" fontId="3"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3"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3" fillId="0" borderId="0" xfId="0" applyFont="1" applyFill="1" applyProtection="1"/>
    <xf numFmtId="43" fontId="3" fillId="0" borderId="26" xfId="1" applyBorder="1" applyProtection="1"/>
    <xf numFmtId="0" fontId="3" fillId="0" borderId="26" xfId="0" applyFont="1" applyFill="1" applyBorder="1" applyProtection="1"/>
    <xf numFmtId="0" fontId="0" fillId="0" borderId="26" xfId="0" applyFill="1" applyBorder="1" applyProtection="1"/>
    <xf numFmtId="43" fontId="3"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7" fillId="0" borderId="47" xfId="1" applyFont="1" applyBorder="1" applyAlignment="1" applyProtection="1">
      <alignment horizontal="center"/>
    </xf>
    <xf numFmtId="43" fontId="17" fillId="0" borderId="17" xfId="1" applyFont="1" applyFill="1" applyBorder="1" applyAlignment="1" applyProtection="1">
      <alignment horizontal="center"/>
    </xf>
    <xf numFmtId="43" fontId="17" fillId="0" borderId="17" xfId="1" applyFont="1" applyBorder="1" applyAlignment="1" applyProtection="1">
      <alignment horizontal="center"/>
    </xf>
    <xf numFmtId="43" fontId="13" fillId="0" borderId="6" xfId="1" applyFont="1" applyFill="1" applyBorder="1" applyProtection="1"/>
    <xf numFmtId="43" fontId="15" fillId="0" borderId="7" xfId="1" applyFont="1" applyBorder="1" applyAlignment="1" applyProtection="1">
      <alignment horizontal="center"/>
    </xf>
    <xf numFmtId="43" fontId="13" fillId="0" borderId="7" xfId="1" applyFont="1" applyBorder="1" applyProtection="1"/>
    <xf numFmtId="43" fontId="13" fillId="3" borderId="7" xfId="1" applyFont="1" applyFill="1" applyBorder="1" applyProtection="1"/>
    <xf numFmtId="43" fontId="13" fillId="0" borderId="29" xfId="1" applyFont="1" applyBorder="1" applyProtection="1"/>
    <xf numFmtId="0" fontId="3" fillId="0" borderId="3" xfId="0" applyFont="1" applyBorder="1" applyProtection="1"/>
    <xf numFmtId="43" fontId="13" fillId="3" borderId="10" xfId="1" applyFont="1" applyFill="1" applyBorder="1" applyProtection="1"/>
    <xf numFmtId="43" fontId="13" fillId="3" borderId="15" xfId="1" applyFont="1" applyFill="1" applyBorder="1" applyProtection="1"/>
    <xf numFmtId="0" fontId="3" fillId="3" borderId="0" xfId="0" applyFont="1" applyFill="1" applyProtection="1"/>
    <xf numFmtId="43" fontId="13" fillId="3" borderId="29" xfId="1" applyFont="1" applyFill="1" applyBorder="1" applyProtection="1"/>
    <xf numFmtId="43" fontId="15" fillId="2" borderId="64" xfId="1" applyFont="1" applyFill="1" applyBorder="1" applyAlignment="1" applyProtection="1">
      <alignment horizontal="center"/>
      <protection locked="0"/>
    </xf>
    <xf numFmtId="43" fontId="15" fillId="2" borderId="7" xfId="1" applyFont="1" applyFill="1" applyBorder="1" applyAlignment="1" applyProtection="1">
      <alignment horizontal="center"/>
      <protection locked="0"/>
    </xf>
    <xf numFmtId="0" fontId="3" fillId="0" borderId="18" xfId="0" applyFont="1" applyFill="1" applyBorder="1" applyProtection="1"/>
    <xf numFmtId="0" fontId="0" fillId="0" borderId="18" xfId="0" applyFill="1" applyBorder="1" applyProtection="1"/>
    <xf numFmtId="43" fontId="13"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3"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3" fillId="0" borderId="7" xfId="1" applyFont="1" applyFill="1" applyBorder="1" applyProtection="1"/>
    <xf numFmtId="43" fontId="13" fillId="0" borderId="29" xfId="1" applyFont="1" applyFill="1" applyBorder="1" applyProtection="1"/>
    <xf numFmtId="0" fontId="3" fillId="0" borderId="0" xfId="19" applyFill="1" applyAlignment="1">
      <alignment horizontal="center"/>
    </xf>
    <xf numFmtId="43" fontId="3" fillId="0" borderId="20" xfId="1" applyFill="1" applyBorder="1"/>
    <xf numFmtId="0" fontId="0" fillId="2" borderId="93" xfId="0" applyNumberFormat="1" applyFill="1" applyBorder="1" applyAlignment="1" applyProtection="1">
      <alignment horizontal="left"/>
      <protection locked="0"/>
    </xf>
    <xf numFmtId="43" fontId="13" fillId="0" borderId="10" xfId="1" applyFont="1" applyFill="1" applyBorder="1" applyProtection="1"/>
    <xf numFmtId="43" fontId="13" fillId="0" borderId="15" xfId="1" applyFont="1" applyFill="1" applyBorder="1" applyProtection="1"/>
    <xf numFmtId="43" fontId="13" fillId="0" borderId="3" xfId="1" applyFont="1" applyFill="1" applyBorder="1" applyProtection="1"/>
    <xf numFmtId="0" fontId="3" fillId="0" borderId="3" xfId="19" applyFont="1" applyFill="1" applyBorder="1" applyProtection="1"/>
    <xf numFmtId="10" fontId="3" fillId="2" borderId="28" xfId="13" applyNumberFormat="1" applyFill="1" applyBorder="1" applyProtection="1">
      <protection locked="0"/>
    </xf>
    <xf numFmtId="10" fontId="3" fillId="2" borderId="29" xfId="13" applyNumberFormat="1" applyFill="1" applyBorder="1" applyProtection="1">
      <protection locked="0"/>
    </xf>
    <xf numFmtId="10" fontId="3" fillId="2" borderId="28" xfId="13" applyNumberFormat="1" applyFill="1" applyBorder="1" applyAlignment="1" applyProtection="1">
      <alignment horizontal="center"/>
      <protection locked="0"/>
    </xf>
    <xf numFmtId="0" fontId="3" fillId="0" borderId="0" xfId="19" applyFill="1" applyAlignment="1">
      <alignment horizontal="center"/>
    </xf>
    <xf numFmtId="43" fontId="3" fillId="0" borderId="19" xfId="1" applyFill="1" applyBorder="1" applyAlignment="1">
      <alignment horizontal="right"/>
    </xf>
    <xf numFmtId="43" fontId="3" fillId="0" borderId="20" xfId="1" applyFill="1" applyBorder="1" applyProtection="1">
      <protection locked="0"/>
    </xf>
    <xf numFmtId="0" fontId="3" fillId="0" borderId="15" xfId="0" applyFont="1" applyBorder="1" applyAlignment="1">
      <alignment horizontal="center"/>
    </xf>
    <xf numFmtId="43" fontId="3" fillId="2" borderId="3" xfId="1" applyNumberFormat="1" applyFill="1" applyBorder="1" applyProtection="1">
      <protection locked="0"/>
    </xf>
    <xf numFmtId="43" fontId="3" fillId="2" borderId="7" xfId="1" applyNumberFormat="1" applyFill="1" applyBorder="1" applyProtection="1">
      <protection locked="0"/>
    </xf>
    <xf numFmtId="43" fontId="3"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3" fillId="0" borderId="0" xfId="85" applyFont="1"/>
    <xf numFmtId="0" fontId="1"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1"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1"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6"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6" fillId="0" borderId="0" xfId="0" applyNumberFormat="1" applyFont="1" applyFill="1" applyBorder="1" applyAlignment="1">
      <alignment horizontal="left"/>
    </xf>
    <xf numFmtId="43" fontId="13" fillId="0" borderId="81" xfId="1" applyFont="1" applyBorder="1"/>
    <xf numFmtId="43" fontId="13"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3" fillId="2" borderId="33" xfId="13" applyNumberFormat="1" applyFill="1" applyBorder="1" applyAlignment="1" applyProtection="1">
      <protection locked="0"/>
    </xf>
    <xf numFmtId="170" fontId="3" fillId="2" borderId="7" xfId="13" applyNumberFormat="1" applyFill="1" applyBorder="1" applyProtection="1">
      <protection locked="0"/>
    </xf>
    <xf numFmtId="170" fontId="3" fillId="2" borderId="6" xfId="13" applyNumberFormat="1" applyFill="1" applyBorder="1" applyProtection="1">
      <protection locked="0"/>
    </xf>
    <xf numFmtId="170" fontId="3" fillId="2" borderId="25" xfId="13" applyNumberFormat="1" applyFill="1" applyBorder="1" applyProtection="1">
      <protection locked="0"/>
    </xf>
    <xf numFmtId="0" fontId="0" fillId="0" borderId="0" xfId="0" applyAlignment="1" applyProtection="1">
      <alignment horizontal="center"/>
    </xf>
    <xf numFmtId="0" fontId="24"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3" fillId="0" borderId="26" xfId="0" applyFont="1" applyBorder="1" applyAlignment="1">
      <alignment horizontal="right"/>
    </xf>
    <xf numFmtId="43" fontId="17" fillId="2" borderId="29" xfId="1" applyFont="1" applyFill="1" applyBorder="1" applyAlignment="1" applyProtection="1">
      <alignment horizontal="center"/>
      <protection locked="0"/>
    </xf>
    <xf numFmtId="43" fontId="17" fillId="2" borderId="7" xfId="1" applyFont="1" applyFill="1" applyBorder="1" applyAlignment="1" applyProtection="1">
      <alignment horizontal="center"/>
      <protection locked="0"/>
    </xf>
    <xf numFmtId="43" fontId="17"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7" fillId="0" borderId="3" xfId="1" applyFont="1" applyBorder="1" applyAlignment="1" applyProtection="1">
      <alignment horizontal="center"/>
    </xf>
    <xf numFmtId="43" fontId="17"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7"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7" fillId="0" borderId="0" xfId="0" applyFont="1" applyAlignment="1">
      <alignment horizontal="center"/>
    </xf>
    <xf numFmtId="0" fontId="17" fillId="0" borderId="26" xfId="0"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7" fillId="0" borderId="29" xfId="1" applyFont="1" applyBorder="1" applyAlignment="1">
      <alignment horizontal="center"/>
    </xf>
    <xf numFmtId="43" fontId="17" fillId="0" borderId="20" xfId="1" applyFont="1" applyBorder="1" applyAlignment="1">
      <alignment horizontal="center"/>
    </xf>
    <xf numFmtId="43" fontId="17" fillId="0" borderId="38" xfId="1" applyFont="1" applyBorder="1" applyAlignment="1">
      <alignment horizontal="center"/>
    </xf>
    <xf numFmtId="43" fontId="3" fillId="0" borderId="29" xfId="1" applyBorder="1" applyAlignment="1">
      <alignment horizontal="right"/>
    </xf>
    <xf numFmtId="43" fontId="3"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7" fillId="0" borderId="6" xfId="1" applyFont="1" applyBorder="1" applyAlignment="1">
      <alignment horizontal="center"/>
    </xf>
    <xf numFmtId="0" fontId="3" fillId="0" borderId="1" xfId="19" applyFill="1" applyBorder="1" applyAlignment="1">
      <alignment horizontal="center" vertical="center"/>
    </xf>
    <xf numFmtId="0" fontId="3" fillId="0" borderId="0" xfId="19" applyFill="1" applyAlignment="1">
      <alignment horizontal="center"/>
    </xf>
    <xf numFmtId="0" fontId="16" fillId="0" borderId="0" xfId="19" applyFont="1" applyFill="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43" fontId="13" fillId="2" borderId="47" xfId="1" applyFont="1" applyFill="1" applyBorder="1" applyAlignment="1" applyProtection="1">
      <protection locked="0"/>
    </xf>
    <xf numFmtId="43" fontId="13" fillId="2" borderId="50" xfId="1" applyFont="1" applyFill="1" applyBorder="1" applyProtection="1">
      <protection locked="0"/>
    </xf>
    <xf numFmtId="43" fontId="13" fillId="2" borderId="17" xfId="1" applyFont="1" applyFill="1" applyBorder="1" applyProtection="1"/>
    <xf numFmtId="43" fontId="13" fillId="2" borderId="25" xfId="1" applyFont="1" applyFill="1" applyBorder="1" applyProtection="1"/>
    <xf numFmtId="43" fontId="13"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3" fillId="0" borderId="20" xfId="0" applyFont="1" applyFill="1" applyBorder="1" applyProtection="1"/>
    <xf numFmtId="43" fontId="3" fillId="0" borderId="7" xfId="1" applyFont="1" applyFill="1" applyBorder="1" applyProtection="1"/>
    <xf numFmtId="43" fontId="3" fillId="0" borderId="17" xfId="1" applyFont="1" applyFill="1" applyBorder="1" applyProtection="1"/>
    <xf numFmtId="0" fontId="3" fillId="0" borderId="0" xfId="0" applyFont="1" applyAlignment="1" applyProtection="1">
      <alignment horizontal="center"/>
    </xf>
    <xf numFmtId="0" fontId="3" fillId="0" borderId="19" xfId="0" applyFont="1" applyFill="1" applyBorder="1" applyProtection="1"/>
    <xf numFmtId="43" fontId="13" fillId="2" borderId="33" xfId="1" applyFont="1" applyFill="1" applyBorder="1" applyProtection="1">
      <protection locked="0"/>
    </xf>
    <xf numFmtId="43" fontId="13" fillId="2" borderId="81" xfId="1" applyFont="1" applyFill="1" applyBorder="1" applyProtection="1">
      <protection locked="0"/>
    </xf>
    <xf numFmtId="0" fontId="17" fillId="0" borderId="37" xfId="0" applyFont="1" applyBorder="1" applyAlignment="1" applyProtection="1">
      <alignment horizontal="center" vertical="center"/>
    </xf>
    <xf numFmtId="0" fontId="24" fillId="0" borderId="0" xfId="0" applyFont="1" applyAlignment="1" applyProtection="1">
      <alignment horizontal="center"/>
    </xf>
    <xf numFmtId="0" fontId="17" fillId="0" borderId="29" xfId="0" applyFont="1" applyBorder="1" applyAlignment="1" applyProtection="1">
      <alignment horizontal="center"/>
    </xf>
    <xf numFmtId="0" fontId="17" fillId="0" borderId="7" xfId="0" applyFont="1" applyBorder="1" applyAlignment="1" applyProtection="1">
      <alignment horizontal="center"/>
    </xf>
    <xf numFmtId="0" fontId="17" fillId="0" borderId="53" xfId="0" applyFont="1" applyBorder="1" applyAlignment="1" applyProtection="1">
      <alignment horizontal="center"/>
    </xf>
    <xf numFmtId="0" fontId="17"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7"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7" fillId="0" borderId="18" xfId="1" applyFont="1" applyBorder="1" applyAlignment="1" applyProtection="1">
      <alignment horizontal="center"/>
    </xf>
    <xf numFmtId="43" fontId="17"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6" fillId="0" borderId="3" xfId="0" applyFont="1" applyBorder="1" applyAlignment="1" applyProtection="1"/>
    <xf numFmtId="0" fontId="20" fillId="0" borderId="3" xfId="0" applyFont="1" applyBorder="1" applyAlignment="1" applyProtection="1"/>
    <xf numFmtId="0" fontId="16" fillId="0" borderId="26" xfId="0" applyFont="1" applyBorder="1" applyAlignment="1" applyProtection="1">
      <alignment wrapText="1"/>
    </xf>
    <xf numFmtId="0" fontId="20" fillId="0" borderId="26" xfId="0" applyFont="1" applyBorder="1" applyAlignment="1" applyProtection="1">
      <alignment horizontal="left"/>
    </xf>
    <xf numFmtId="0" fontId="16" fillId="0" borderId="3" xfId="0" applyFont="1" applyBorder="1" applyAlignment="1" applyProtection="1">
      <alignment wrapText="1"/>
    </xf>
    <xf numFmtId="43" fontId="0" fillId="3" borderId="83" xfId="1" applyFont="1" applyFill="1" applyBorder="1" applyProtection="1"/>
    <xf numFmtId="43" fontId="3" fillId="0" borderId="8" xfId="1" applyBorder="1" applyProtection="1"/>
    <xf numFmtId="43" fontId="17" fillId="0" borderId="25" xfId="1" applyFont="1" applyBorder="1" applyAlignment="1" applyProtection="1">
      <alignment horizontal="center"/>
    </xf>
    <xf numFmtId="43" fontId="3"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6" fillId="0" borderId="0" xfId="0" applyFont="1" applyAlignment="1" applyProtection="1">
      <alignment horizontal="center"/>
    </xf>
    <xf numFmtId="43" fontId="0" fillId="0" borderId="0" xfId="1" applyFont="1" applyBorder="1" applyProtection="1"/>
    <xf numFmtId="14" fontId="22" fillId="0" borderId="0" xfId="0" applyNumberFormat="1" applyFont="1" applyBorder="1" applyAlignment="1" applyProtection="1">
      <alignment horizontal="center"/>
    </xf>
    <xf numFmtId="43" fontId="0" fillId="0" borderId="0" xfId="1" applyFont="1" applyProtection="1"/>
    <xf numFmtId="0" fontId="3" fillId="0" borderId="26" xfId="0" applyFont="1" applyBorder="1" applyProtection="1"/>
    <xf numFmtId="0" fontId="0" fillId="0" borderId="26" xfId="0" applyBorder="1" applyProtection="1"/>
    <xf numFmtId="0" fontId="11"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3" fillId="3" borderId="47" xfId="1" applyFill="1" applyBorder="1" applyAlignment="1" applyProtection="1">
      <alignment horizontal="center"/>
    </xf>
    <xf numFmtId="43" fontId="3" fillId="3" borderId="17" xfId="1" applyFill="1" applyBorder="1" applyProtection="1"/>
    <xf numFmtId="43" fontId="3" fillId="0" borderId="48" xfId="1" applyBorder="1" applyProtection="1"/>
    <xf numFmtId="43" fontId="3"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7" fillId="0" borderId="33" xfId="1" applyFont="1" applyBorder="1" applyAlignment="1" applyProtection="1">
      <alignment horizontal="center"/>
    </xf>
    <xf numFmtId="43" fontId="3"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7"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6" fillId="2" borderId="26" xfId="0" applyFont="1" applyFill="1" applyBorder="1" applyProtection="1">
      <protection locked="0"/>
    </xf>
    <xf numFmtId="43" fontId="20"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7" fillId="0" borderId="24" xfId="1" applyFont="1" applyBorder="1" applyAlignment="1" applyProtection="1">
      <alignment horizontal="center"/>
    </xf>
    <xf numFmtId="43" fontId="3" fillId="0" borderId="7" xfId="1" applyBorder="1" applyProtection="1"/>
    <xf numFmtId="43" fontId="3" fillId="0" borderId="25" xfId="1" applyBorder="1" applyProtection="1"/>
    <xf numFmtId="43" fontId="3"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3" fillId="2" borderId="29" xfId="19" applyNumberFormat="1" applyFill="1" applyBorder="1" applyProtection="1">
      <protection locked="0"/>
    </xf>
    <xf numFmtId="43" fontId="3" fillId="2" borderId="7" xfId="19" applyNumberFormat="1" applyFill="1" applyBorder="1" applyProtection="1">
      <protection locked="0"/>
    </xf>
    <xf numFmtId="43" fontId="3" fillId="2" borderId="29" xfId="1" applyFont="1" applyFill="1" applyBorder="1" applyProtection="1">
      <protection locked="0"/>
    </xf>
    <xf numFmtId="0" fontId="3" fillId="0" borderId="0" xfId="19" applyFill="1" applyProtection="1"/>
    <xf numFmtId="0" fontId="3" fillId="0" borderId="2" xfId="19" applyFill="1" applyBorder="1" applyAlignment="1" applyProtection="1">
      <alignment horizontal="center" vertical="center"/>
    </xf>
    <xf numFmtId="0" fontId="3" fillId="0" borderId="1" xfId="19" applyFill="1" applyBorder="1" applyAlignment="1" applyProtection="1">
      <alignment horizontal="center" vertical="center"/>
    </xf>
    <xf numFmtId="43" fontId="3" fillId="0" borderId="4" xfId="1" applyFill="1" applyBorder="1" applyProtection="1"/>
    <xf numFmtId="43" fontId="3" fillId="0" borderId="0" xfId="1" applyFill="1" applyProtection="1"/>
    <xf numFmtId="0" fontId="17" fillId="0" borderId="0" xfId="19" applyFont="1" applyFill="1" applyProtection="1"/>
    <xf numFmtId="0" fontId="3" fillId="0" borderId="15" xfId="19" applyFill="1" applyBorder="1" applyProtection="1"/>
    <xf numFmtId="0" fontId="3" fillId="0" borderId="29" xfId="19" applyFill="1" applyBorder="1" applyProtection="1"/>
    <xf numFmtId="43" fontId="3" fillId="0" borderId="29" xfId="19" applyNumberFormat="1" applyFill="1" applyBorder="1" applyProtection="1"/>
    <xf numFmtId="0" fontId="3" fillId="0" borderId="64" xfId="19" applyFill="1" applyBorder="1" applyProtection="1"/>
    <xf numFmtId="43" fontId="3" fillId="0" borderId="3" xfId="1" applyFill="1" applyBorder="1" applyProtection="1"/>
    <xf numFmtId="0" fontId="17" fillId="0" borderId="3" xfId="19" applyFont="1" applyFill="1" applyBorder="1" applyProtection="1"/>
    <xf numFmtId="43" fontId="3" fillId="3" borderId="3" xfId="1" applyFill="1" applyBorder="1" applyProtection="1"/>
    <xf numFmtId="43" fontId="3" fillId="0" borderId="64" xfId="19" applyNumberFormat="1" applyFill="1" applyBorder="1" applyProtection="1"/>
    <xf numFmtId="0" fontId="3" fillId="0" borderId="26" xfId="19" applyFill="1" applyBorder="1" applyProtection="1"/>
    <xf numFmtId="43" fontId="3" fillId="0" borderId="36" xfId="1" applyFill="1" applyBorder="1" applyProtection="1"/>
    <xf numFmtId="43" fontId="3" fillId="0" borderId="83" xfId="1" applyFill="1" applyBorder="1" applyProtection="1"/>
    <xf numFmtId="43" fontId="3" fillId="0" borderId="11" xfId="1" applyFill="1" applyBorder="1" applyProtection="1"/>
    <xf numFmtId="43" fontId="3" fillId="0" borderId="12" xfId="1" applyFill="1" applyBorder="1" applyProtection="1"/>
    <xf numFmtId="0" fontId="36" fillId="0" borderId="0" xfId="19" applyFont="1" applyAlignment="1" applyProtection="1">
      <alignment horizontal="center"/>
    </xf>
    <xf numFmtId="0" fontId="3" fillId="0" borderId="2" xfId="19" applyBorder="1" applyAlignment="1" applyProtection="1">
      <alignment horizontal="center" vertical="center"/>
    </xf>
    <xf numFmtId="0" fontId="3" fillId="0" borderId="1" xfId="19" applyBorder="1" applyAlignment="1" applyProtection="1">
      <alignment horizontal="center" vertical="center"/>
    </xf>
    <xf numFmtId="0" fontId="3" fillId="3" borderId="0" xfId="19" applyFill="1" applyProtection="1"/>
    <xf numFmtId="0" fontId="3" fillId="3" borderId="3" xfId="19" applyFill="1" applyBorder="1" applyProtection="1"/>
    <xf numFmtId="43" fontId="3" fillId="3" borderId="7" xfId="1" applyFill="1" applyBorder="1" applyProtection="1"/>
    <xf numFmtId="0" fontId="3" fillId="0" borderId="3" xfId="19" applyBorder="1" applyProtection="1"/>
    <xf numFmtId="43" fontId="3" fillId="0" borderId="3" xfId="1" applyBorder="1" applyProtection="1"/>
    <xf numFmtId="0" fontId="3" fillId="0" borderId="0" xfId="19" applyAlignment="1" applyProtection="1">
      <alignment horizontal="center"/>
    </xf>
    <xf numFmtId="0" fontId="3" fillId="0" borderId="9" xfId="19" applyBorder="1" applyProtection="1"/>
    <xf numFmtId="0" fontId="3" fillId="0" borderId="4" xfId="19" applyBorder="1" applyAlignment="1" applyProtection="1">
      <alignment horizontal="center"/>
    </xf>
    <xf numFmtId="0" fontId="3" fillId="0" borderId="4" xfId="19" applyBorder="1" applyProtection="1"/>
    <xf numFmtId="0" fontId="3" fillId="0" borderId="13" xfId="19" applyBorder="1" applyProtection="1"/>
    <xf numFmtId="0" fontId="3" fillId="0" borderId="0" xfId="19" applyProtection="1"/>
    <xf numFmtId="0" fontId="3" fillId="0" borderId="10" xfId="19" applyBorder="1" applyAlignment="1" applyProtection="1">
      <alignment horizontal="center"/>
    </xf>
    <xf numFmtId="0" fontId="3" fillId="0" borderId="10" xfId="19" applyBorder="1" applyProtection="1"/>
    <xf numFmtId="0" fontId="3" fillId="0" borderId="16" xfId="19" applyBorder="1" applyAlignment="1" applyProtection="1">
      <alignment horizontal="center"/>
    </xf>
    <xf numFmtId="14" fontId="3" fillId="0" borderId="10" xfId="19" applyNumberFormat="1" applyBorder="1" applyAlignment="1" applyProtection="1">
      <alignment horizontal="center"/>
    </xf>
    <xf numFmtId="0" fontId="3" fillId="0" borderId="15" xfId="19" applyBorder="1" applyAlignment="1" applyProtection="1">
      <alignment horizontal="center"/>
    </xf>
    <xf numFmtId="14" fontId="3" fillId="0" borderId="16" xfId="19" applyNumberFormat="1" applyBorder="1" applyAlignment="1" applyProtection="1">
      <alignment horizontal="center"/>
    </xf>
    <xf numFmtId="0" fontId="3" fillId="0" borderId="8" xfId="19" applyBorder="1" applyProtection="1"/>
    <xf numFmtId="0" fontId="3" fillId="0" borderId="11" xfId="19" applyBorder="1" applyProtection="1"/>
    <xf numFmtId="0" fontId="3" fillId="0" borderId="11" xfId="19" applyBorder="1" applyAlignment="1" applyProtection="1">
      <alignment horizontal="center"/>
    </xf>
    <xf numFmtId="0" fontId="3" fillId="0" borderId="12" xfId="19" applyBorder="1" applyProtection="1"/>
    <xf numFmtId="0" fontId="3" fillId="0" borderId="14" xfId="19" applyBorder="1" applyProtection="1"/>
    <xf numFmtId="0" fontId="3" fillId="0" borderId="18" xfId="19" applyBorder="1" applyProtection="1"/>
    <xf numFmtId="0" fontId="3" fillId="0" borderId="19" xfId="19" applyBorder="1" applyProtection="1"/>
    <xf numFmtId="43" fontId="3" fillId="3" borderId="50" xfId="1" applyFill="1" applyBorder="1" applyProtection="1"/>
    <xf numFmtId="43" fontId="3" fillId="0" borderId="14" xfId="1" applyBorder="1" applyProtection="1"/>
    <xf numFmtId="0" fontId="3" fillId="0" borderId="23" xfId="19" applyBorder="1" applyProtection="1"/>
    <xf numFmtId="0" fontId="3" fillId="0" borderId="31" xfId="19" applyBorder="1" applyProtection="1"/>
    <xf numFmtId="0" fontId="10" fillId="0" borderId="0" xfId="19" applyFont="1" applyProtection="1"/>
    <xf numFmtId="0" fontId="3" fillId="0" borderId="20" xfId="19" applyBorder="1" applyProtection="1"/>
    <xf numFmtId="0" fontId="16" fillId="2" borderId="26" xfId="19" applyFont="1" applyFill="1" applyBorder="1" applyAlignment="1" applyProtection="1">
      <alignment horizontal="center"/>
      <protection locked="0"/>
    </xf>
    <xf numFmtId="0" fontId="22" fillId="0" borderId="0" xfId="19" applyFont="1" applyFill="1" applyProtection="1"/>
    <xf numFmtId="0" fontId="11" fillId="0" borderId="0" xfId="19" applyFont="1" applyFill="1" applyProtection="1"/>
    <xf numFmtId="0" fontId="3" fillId="0" borderId="8" xfId="19" applyFill="1" applyBorder="1" applyProtection="1"/>
    <xf numFmtId="0" fontId="3" fillId="0" borderId="18" xfId="19" applyFill="1" applyBorder="1" applyProtection="1"/>
    <xf numFmtId="43" fontId="17" fillId="0" borderId="33" xfId="1" applyFont="1" applyFill="1" applyBorder="1" applyAlignment="1" applyProtection="1">
      <alignment horizontal="center"/>
    </xf>
    <xf numFmtId="0" fontId="3" fillId="0" borderId="3" xfId="19" applyFill="1" applyBorder="1" applyAlignment="1" applyProtection="1">
      <alignment horizontal="left"/>
    </xf>
    <xf numFmtId="43" fontId="3" fillId="3" borderId="7" xfId="1" applyFont="1" applyFill="1" applyBorder="1" applyProtection="1"/>
    <xf numFmtId="43" fontId="17"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3" fillId="0" borderId="41" xfId="19" applyFill="1" applyBorder="1" applyProtection="1"/>
    <xf numFmtId="43" fontId="3" fillId="3" borderId="27" xfId="1" applyFont="1" applyFill="1" applyBorder="1" applyProtection="1"/>
    <xf numFmtId="0" fontId="3" fillId="0" borderId="39" xfId="19" applyFill="1" applyBorder="1" applyProtection="1"/>
    <xf numFmtId="43" fontId="0" fillId="0" borderId="39" xfId="1" applyFont="1" applyFill="1" applyBorder="1" applyProtection="1"/>
    <xf numFmtId="0" fontId="3"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3" fillId="0" borderId="0" xfId="19" applyFont="1" applyFill="1" applyProtection="1"/>
    <xf numFmtId="0" fontId="3" fillId="0" borderId="60" xfId="19" applyFill="1" applyBorder="1" applyProtection="1"/>
    <xf numFmtId="0" fontId="3" fillId="0" borderId="63" xfId="19" applyFill="1" applyBorder="1" applyProtection="1"/>
    <xf numFmtId="0" fontId="3"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3" fillId="0" borderId="27" xfId="1" applyFont="1" applyFill="1" applyBorder="1" applyProtection="1"/>
    <xf numFmtId="0" fontId="3" fillId="0" borderId="3" xfId="19" applyFill="1" applyBorder="1" applyAlignment="1" applyProtection="1">
      <alignment vertical="top"/>
    </xf>
    <xf numFmtId="0" fontId="3" fillId="2" borderId="7" xfId="19" applyFont="1" applyFill="1" applyBorder="1" applyAlignment="1" applyProtection="1">
      <protection locked="0"/>
    </xf>
    <xf numFmtId="43" fontId="3" fillId="2" borderId="7" xfId="19" applyNumberFormat="1" applyFont="1" applyFill="1" applyBorder="1" applyAlignment="1" applyProtection="1">
      <protection locked="0"/>
    </xf>
    <xf numFmtId="0" fontId="3" fillId="2" borderId="3" xfId="19" applyFill="1" applyBorder="1" applyAlignment="1" applyProtection="1">
      <alignment horizontal="left"/>
      <protection locked="0"/>
    </xf>
    <xf numFmtId="49" fontId="3" fillId="2" borderId="3" xfId="19" applyNumberFormat="1" applyFill="1" applyBorder="1" applyAlignment="1" applyProtection="1">
      <protection locked="0"/>
    </xf>
    <xf numFmtId="43" fontId="3" fillId="2" borderId="3" xfId="19" applyNumberFormat="1" applyFont="1" applyFill="1" applyBorder="1" applyAlignment="1" applyProtection="1">
      <protection locked="0"/>
    </xf>
    <xf numFmtId="0" fontId="17" fillId="0" borderId="33" xfId="19" applyFont="1" applyFill="1" applyBorder="1" applyAlignment="1" applyProtection="1">
      <alignment horizontal="center"/>
    </xf>
    <xf numFmtId="43" fontId="3" fillId="0" borderId="18" xfId="1" applyFill="1" applyBorder="1" applyProtection="1"/>
    <xf numFmtId="0" fontId="17" fillId="0" borderId="7" xfId="19" applyFont="1" applyFill="1" applyBorder="1" applyAlignment="1" applyProtection="1">
      <alignment horizontal="center"/>
    </xf>
    <xf numFmtId="43" fontId="3" fillId="0" borderId="5" xfId="19" applyNumberFormat="1" applyFont="1" applyFill="1" applyBorder="1" applyAlignment="1" applyProtection="1">
      <alignment horizontal="center"/>
    </xf>
    <xf numFmtId="0" fontId="17" fillId="0" borderId="3" xfId="19" applyFont="1" applyFill="1" applyBorder="1" applyAlignment="1" applyProtection="1">
      <alignment horizontal="center"/>
    </xf>
    <xf numFmtId="0" fontId="17" fillId="0" borderId="32" xfId="19" applyFont="1" applyFill="1" applyBorder="1" applyAlignment="1" applyProtection="1">
      <alignment horizontal="center"/>
    </xf>
    <xf numFmtId="43" fontId="3" fillId="0" borderId="0" xfId="19" applyNumberFormat="1" applyFill="1" applyProtection="1"/>
    <xf numFmtId="0" fontId="10" fillId="0" borderId="0" xfId="19" applyFont="1" applyFill="1" applyProtection="1"/>
    <xf numFmtId="49" fontId="3" fillId="0" borderId="18" xfId="19" applyNumberFormat="1" applyFill="1" applyBorder="1" applyAlignment="1" applyProtection="1">
      <alignment horizontal="left"/>
    </xf>
    <xf numFmtId="14" fontId="3" fillId="0" borderId="18" xfId="19" applyNumberFormat="1" applyFill="1" applyBorder="1" applyProtection="1"/>
    <xf numFmtId="43" fontId="3" fillId="3" borderId="26" xfId="1" applyFill="1" applyBorder="1" applyProtection="1"/>
    <xf numFmtId="43" fontId="3" fillId="0" borderId="28" xfId="1" applyFill="1" applyBorder="1" applyProtection="1"/>
    <xf numFmtId="0" fontId="3" fillId="0" borderId="18" xfId="19" applyFill="1" applyBorder="1" applyAlignment="1" applyProtection="1">
      <alignment horizontal="right"/>
    </xf>
    <xf numFmtId="0" fontId="3" fillId="0" borderId="3" xfId="19" applyFill="1" applyBorder="1" applyAlignment="1" applyProtection="1">
      <alignment horizontal="right"/>
    </xf>
    <xf numFmtId="43" fontId="3" fillId="0" borderId="64" xfId="1" applyFill="1" applyBorder="1" applyProtection="1"/>
    <xf numFmtId="43" fontId="3" fillId="0" borderId="81" xfId="1" applyFill="1" applyBorder="1" applyProtection="1"/>
    <xf numFmtId="43" fontId="3" fillId="0" borderId="84" xfId="1" applyFill="1" applyBorder="1" applyProtection="1"/>
    <xf numFmtId="0" fontId="3" fillId="0" borderId="20" xfId="19" applyFill="1" applyBorder="1" applyAlignment="1" applyProtection="1">
      <alignment horizontal="right"/>
    </xf>
    <xf numFmtId="0" fontId="15" fillId="0" borderId="0" xfId="19" applyFont="1" applyFill="1" applyProtection="1"/>
    <xf numFmtId="0" fontId="3" fillId="0" borderId="0" xfId="19" applyFill="1" applyAlignment="1" applyProtection="1">
      <alignment horizontal="right"/>
    </xf>
    <xf numFmtId="0" fontId="16" fillId="0" borderId="0" xfId="19" applyFont="1" applyFill="1" applyProtection="1"/>
    <xf numFmtId="0" fontId="16" fillId="0" borderId="3" xfId="19" applyFont="1" applyFill="1" applyBorder="1" applyAlignment="1" applyProtection="1">
      <alignment wrapText="1"/>
    </xf>
    <xf numFmtId="43" fontId="3" fillId="0" borderId="26" xfId="19" applyNumberFormat="1" applyBorder="1" applyProtection="1"/>
    <xf numFmtId="43" fontId="0" fillId="3" borderId="26" xfId="1" applyFont="1" applyFill="1" applyBorder="1" applyProtection="1"/>
    <xf numFmtId="0" fontId="3" fillId="3" borderId="26" xfId="19" applyFill="1" applyBorder="1" applyProtection="1"/>
    <xf numFmtId="0" fontId="17" fillId="0" borderId="26" xfId="19" applyFont="1" applyFill="1" applyBorder="1" applyProtection="1"/>
    <xf numFmtId="43" fontId="3" fillId="0" borderId="20" xfId="1" applyFill="1" applyBorder="1" applyAlignment="1" applyProtection="1">
      <alignment horizontal="right"/>
    </xf>
    <xf numFmtId="43" fontId="3" fillId="0" borderId="20" xfId="1" applyFill="1" applyBorder="1" applyAlignment="1" applyProtection="1">
      <alignment horizontal="right"/>
    </xf>
    <xf numFmtId="43" fontId="3" fillId="0" borderId="19" xfId="19" applyNumberFormat="1" applyFill="1" applyBorder="1" applyProtection="1"/>
    <xf numFmtId="43" fontId="3" fillId="0" borderId="20" xfId="19" applyNumberFormat="1" applyFill="1" applyBorder="1" applyProtection="1"/>
    <xf numFmtId="0" fontId="3" fillId="0" borderId="23" xfId="19" applyFill="1" applyBorder="1" applyProtection="1"/>
    <xf numFmtId="0" fontId="3"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3" fillId="0" borderId="9" xfId="19" applyFill="1" applyBorder="1" applyProtection="1"/>
    <xf numFmtId="0" fontId="3" fillId="0" borderId="4" xfId="19" applyFill="1" applyBorder="1" applyAlignment="1" applyProtection="1">
      <alignment horizontal="center"/>
    </xf>
    <xf numFmtId="0" fontId="3" fillId="0" borderId="51" xfId="19" applyFill="1" applyBorder="1" applyProtection="1"/>
    <xf numFmtId="0" fontId="3" fillId="0" borderId="65" xfId="19" applyFill="1" applyBorder="1" applyProtection="1"/>
    <xf numFmtId="0" fontId="3" fillId="0" borderId="10" xfId="19" applyFill="1" applyBorder="1" applyAlignment="1" applyProtection="1">
      <alignment horizontal="center"/>
    </xf>
    <xf numFmtId="0" fontId="3" fillId="0" borderId="15" xfId="19" applyFill="1"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66" xfId="19" applyFill="1" applyBorder="1" applyAlignment="1" applyProtection="1">
      <alignment horizontal="center"/>
    </xf>
    <xf numFmtId="0" fontId="3" fillId="0" borderId="0" xfId="19" applyFill="1" applyBorder="1" applyAlignment="1" applyProtection="1">
      <alignment horizontal="center" vertical="center" wrapText="1"/>
    </xf>
    <xf numFmtId="0" fontId="3" fillId="0" borderId="11" xfId="19" applyFill="1" applyBorder="1" applyProtection="1"/>
    <xf numFmtId="14" fontId="3" fillId="0" borderId="11" xfId="19" applyNumberFormat="1" applyFill="1" applyBorder="1" applyAlignment="1" applyProtection="1">
      <alignment horizontal="center"/>
    </xf>
    <xf numFmtId="0" fontId="3" fillId="0" borderId="11" xfId="19" applyFill="1" applyBorder="1" applyAlignment="1" applyProtection="1">
      <alignment horizontal="center"/>
    </xf>
    <xf numFmtId="0" fontId="17" fillId="0" borderId="11" xfId="19" applyFont="1" applyFill="1" applyBorder="1" applyAlignment="1" applyProtection="1">
      <alignment horizontal="center"/>
    </xf>
    <xf numFmtId="0" fontId="17" fillId="0" borderId="12" xfId="19" applyFont="1" applyFill="1" applyBorder="1" applyAlignment="1" applyProtection="1">
      <alignment horizontal="center"/>
    </xf>
    <xf numFmtId="0" fontId="3" fillId="0" borderId="67" xfId="19" applyFill="1" applyBorder="1" applyProtection="1"/>
    <xf numFmtId="0" fontId="3"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7" fillId="0" borderId="11" xfId="19" applyFont="1" applyBorder="1" applyAlignment="1" applyProtection="1">
      <alignment horizontal="center"/>
    </xf>
    <xf numFmtId="49" fontId="3" fillId="0" borderId="23" xfId="19" applyNumberFormat="1" applyBorder="1" applyAlignment="1" applyProtection="1">
      <alignment horizontal="center"/>
    </xf>
    <xf numFmtId="0" fontId="3" fillId="0" borderId="31" xfId="19" applyFill="1" applyBorder="1" applyAlignment="1" applyProtection="1">
      <alignment horizontal="right"/>
    </xf>
    <xf numFmtId="0" fontId="3" fillId="0" borderId="14" xfId="19" applyFill="1" applyBorder="1" applyProtection="1"/>
    <xf numFmtId="49" fontId="38" fillId="0" borderId="0" xfId="19" applyNumberFormat="1" applyFont="1" applyBorder="1" applyAlignment="1" applyProtection="1">
      <alignment horizontal="left"/>
    </xf>
    <xf numFmtId="0" fontId="38" fillId="0" borderId="0" xfId="19" applyFont="1" applyBorder="1" applyProtection="1"/>
    <xf numFmtId="0" fontId="38" fillId="0" borderId="0" xfId="19" applyFont="1" applyBorder="1" applyAlignment="1" applyProtection="1">
      <alignment horizontal="right"/>
    </xf>
    <xf numFmtId="0" fontId="3" fillId="0" borderId="0" xfId="19" applyBorder="1" applyProtection="1"/>
    <xf numFmtId="0" fontId="16" fillId="0" borderId="0" xfId="19" applyFont="1" applyBorder="1" applyAlignment="1" applyProtection="1">
      <alignment horizontal="center"/>
    </xf>
    <xf numFmtId="0" fontId="38" fillId="0" borderId="0" xfId="19" applyFont="1" applyBorder="1" applyAlignment="1" applyProtection="1">
      <alignment horizontal="left"/>
    </xf>
    <xf numFmtId="0" fontId="17" fillId="0" borderId="0" xfId="19" applyFont="1" applyBorder="1" applyProtection="1"/>
    <xf numFmtId="0" fontId="3" fillId="0" borderId="51" xfId="19" applyBorder="1" applyAlignment="1" applyProtection="1">
      <alignment horizontal="center"/>
    </xf>
    <xf numFmtId="0" fontId="3" fillId="0" borderId="65" xfId="19" applyBorder="1" applyProtection="1"/>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0" xfId="19" applyBorder="1" applyAlignment="1" applyProtection="1">
      <alignment horizontal="center"/>
    </xf>
    <xf numFmtId="0" fontId="3" fillId="0" borderId="21" xfId="19" applyBorder="1" applyAlignment="1" applyProtection="1">
      <alignment horizontal="center"/>
    </xf>
    <xf numFmtId="14" fontId="3" fillId="0" borderId="15" xfId="19" applyNumberFormat="1" applyBorder="1" applyAlignment="1" applyProtection="1">
      <alignment horizontal="center"/>
    </xf>
    <xf numFmtId="0" fontId="3" fillId="0" borderId="52" xfId="19" applyBorder="1" applyProtection="1"/>
    <xf numFmtId="0" fontId="3" fillId="0" borderId="12" xfId="19" applyBorder="1" applyAlignment="1" applyProtection="1">
      <alignment horizontal="center"/>
    </xf>
    <xf numFmtId="0" fontId="17" fillId="0" borderId="14" xfId="19" applyFont="1" applyBorder="1" applyAlignment="1" applyProtection="1">
      <alignment horizontal="center"/>
    </xf>
    <xf numFmtId="0" fontId="3" fillId="0" borderId="15" xfId="19" applyFont="1" applyBorder="1" applyAlignment="1" applyProtection="1">
      <alignment horizontal="center"/>
    </xf>
    <xf numFmtId="43" fontId="3" fillId="3" borderId="33" xfId="1" applyFill="1" applyBorder="1" applyAlignment="1" applyProtection="1"/>
    <xf numFmtId="49" fontId="3" fillId="3" borderId="18" xfId="19" applyNumberFormat="1" applyFill="1" applyBorder="1" applyAlignment="1" applyProtection="1">
      <alignment horizontal="left"/>
    </xf>
    <xf numFmtId="0" fontId="3" fillId="3" borderId="18" xfId="19" applyFill="1" applyBorder="1" applyProtection="1"/>
    <xf numFmtId="0" fontId="3" fillId="3" borderId="19" xfId="19" applyFill="1" applyBorder="1" applyProtection="1"/>
    <xf numFmtId="43" fontId="3" fillId="3" borderId="47" xfId="1" applyFill="1" applyBorder="1" applyAlignment="1" applyProtection="1"/>
    <xf numFmtId="0" fontId="16" fillId="2" borderId="26" xfId="19" applyFont="1" applyFill="1" applyBorder="1" applyProtection="1">
      <protection locked="0"/>
    </xf>
    <xf numFmtId="43" fontId="3" fillId="0" borderId="25" xfId="1" applyFill="1" applyBorder="1" applyProtection="1"/>
    <xf numFmtId="43" fontId="3" fillId="0" borderId="20" xfId="1" applyFont="1" applyFill="1" applyBorder="1" applyProtection="1"/>
    <xf numFmtId="43" fontId="3" fillId="0" borderId="29" xfId="1" applyFont="1" applyFill="1" applyBorder="1" applyProtection="1"/>
    <xf numFmtId="0" fontId="3" fillId="0" borderId="2" xfId="19" applyFill="1" applyBorder="1" applyAlignment="1" applyProtection="1">
      <alignment horizontal="center" vertical="center"/>
      <protection locked="0"/>
    </xf>
    <xf numFmtId="0" fontId="3" fillId="0" borderId="1" xfId="19" applyFill="1" applyBorder="1" applyAlignment="1" applyProtection="1">
      <alignment horizontal="center" vertical="center"/>
      <protection locked="0"/>
    </xf>
    <xf numFmtId="43" fontId="3" fillId="0" borderId="4" xfId="1" applyFill="1" applyBorder="1" applyProtection="1">
      <protection locked="0"/>
    </xf>
    <xf numFmtId="43" fontId="3" fillId="0" borderId="0" xfId="1" applyFill="1" applyProtection="1">
      <protection locked="0"/>
    </xf>
    <xf numFmtId="0" fontId="17" fillId="0" borderId="3" xfId="19" applyFont="1" applyFill="1" applyBorder="1" applyProtection="1">
      <protection locked="0"/>
    </xf>
    <xf numFmtId="0" fontId="3" fillId="0" borderId="3" xfId="19" applyFill="1" applyBorder="1" applyProtection="1">
      <protection locked="0"/>
    </xf>
    <xf numFmtId="43" fontId="3" fillId="0" borderId="7" xfId="1" applyFill="1" applyBorder="1" applyProtection="1">
      <protection locked="0"/>
    </xf>
    <xf numFmtId="43" fontId="3" fillId="0" borderId="3" xfId="1" applyFill="1" applyBorder="1" applyProtection="1">
      <protection locked="0"/>
    </xf>
    <xf numFmtId="43" fontId="13" fillId="0" borderId="36" xfId="1" applyFont="1" applyFill="1" applyBorder="1" applyProtection="1"/>
    <xf numFmtId="43" fontId="13" fillId="0" borderId="83" xfId="1" applyFont="1" applyFill="1" applyBorder="1" applyProtection="1"/>
    <xf numFmtId="43" fontId="13" fillId="0" borderId="11" xfId="1" applyFont="1" applyFill="1" applyBorder="1" applyProtection="1"/>
    <xf numFmtId="43" fontId="13" fillId="0" borderId="12" xfId="1" applyFont="1" applyFill="1" applyBorder="1" applyProtection="1"/>
    <xf numFmtId="0" fontId="3" fillId="0" borderId="0" xfId="19" applyFill="1" applyBorder="1" applyAlignment="1" applyProtection="1">
      <alignment horizontal="center"/>
    </xf>
    <xf numFmtId="0" fontId="3" fillId="0" borderId="0" xfId="19" applyFill="1" applyAlignment="1" applyProtection="1">
      <alignment horizontal="center"/>
    </xf>
    <xf numFmtId="43" fontId="17" fillId="0" borderId="3" xfId="1" applyFont="1" applyFill="1" applyBorder="1" applyAlignment="1" applyProtection="1">
      <alignment horizontal="center"/>
    </xf>
    <xf numFmtId="0" fontId="5" fillId="0" borderId="0" xfId="19" applyFont="1" applyFill="1" applyAlignment="1" applyProtection="1">
      <alignment horizontal="center"/>
    </xf>
    <xf numFmtId="0" fontId="3" fillId="0" borderId="9" xfId="19" applyFill="1" applyBorder="1" applyAlignment="1" applyProtection="1">
      <alignment horizontal="center"/>
    </xf>
    <xf numFmtId="49" fontId="3" fillId="0" borderId="11" xfId="19" applyNumberFormat="1" applyFill="1" applyBorder="1" applyAlignment="1" applyProtection="1">
      <alignment horizontal="center"/>
    </xf>
    <xf numFmtId="49" fontId="3" fillId="0" borderId="8" xfId="19" applyNumberFormat="1" applyFill="1" applyBorder="1" applyAlignment="1" applyProtection="1">
      <alignment horizontal="center"/>
    </xf>
    <xf numFmtId="0" fontId="16" fillId="0" borderId="18" xfId="19" applyFont="1" applyFill="1" applyBorder="1" applyAlignment="1" applyProtection="1">
      <alignment horizontal="center"/>
    </xf>
    <xf numFmtId="0" fontId="16" fillId="0" borderId="0" xfId="19" applyFont="1" applyFill="1" applyAlignment="1" applyProtection="1">
      <alignment horizontal="center"/>
    </xf>
    <xf numFmtId="0" fontId="16" fillId="0" borderId="26" xfId="19" applyFont="1" applyFill="1" applyBorder="1" applyAlignment="1" applyProtection="1">
      <alignment horizontal="center"/>
    </xf>
    <xf numFmtId="43" fontId="3" fillId="0" borderId="10" xfId="1" applyFill="1" applyBorder="1" applyProtection="1"/>
    <xf numFmtId="43" fontId="3" fillId="0" borderId="33" xfId="1" applyFill="1" applyBorder="1" applyProtection="1"/>
    <xf numFmtId="43" fontId="3" fillId="0" borderId="3" xfId="1" applyFont="1" applyFill="1" applyBorder="1" applyAlignment="1" applyProtection="1"/>
    <xf numFmtId="43" fontId="3" fillId="0" borderId="35" xfId="1" applyFill="1" applyBorder="1" applyProtection="1"/>
    <xf numFmtId="0" fontId="16" fillId="0" borderId="3" xfId="19" applyFont="1" applyFill="1" applyBorder="1" applyAlignment="1" applyProtection="1">
      <alignment horizontal="center"/>
    </xf>
    <xf numFmtId="0" fontId="16" fillId="0" borderId="3" xfId="19" applyFont="1" applyFill="1" applyBorder="1" applyProtection="1"/>
    <xf numFmtId="0" fontId="16" fillId="0" borderId="38" xfId="19" applyFont="1" applyFill="1" applyBorder="1" applyAlignment="1" applyProtection="1">
      <alignment horizontal="center"/>
    </xf>
    <xf numFmtId="43" fontId="3" fillId="0" borderId="27" xfId="1" applyFill="1" applyBorder="1" applyProtection="1"/>
    <xf numFmtId="43" fontId="3" fillId="0" borderId="34" xfId="1" applyFill="1" applyBorder="1" applyProtection="1"/>
    <xf numFmtId="0" fontId="13" fillId="0" borderId="18" xfId="19" applyFont="1" applyFill="1" applyBorder="1" applyAlignment="1" applyProtection="1"/>
    <xf numFmtId="0" fontId="3" fillId="0" borderId="18" xfId="19" applyFont="1" applyFill="1" applyBorder="1" applyAlignment="1" applyProtection="1"/>
    <xf numFmtId="43" fontId="3" fillId="0" borderId="19" xfId="1" applyFont="1" applyFill="1" applyBorder="1" applyAlignment="1" applyProtection="1">
      <alignment horizontal="right"/>
    </xf>
    <xf numFmtId="43" fontId="17" fillId="0" borderId="18" xfId="1" applyFont="1" applyFill="1" applyBorder="1" applyAlignment="1" applyProtection="1">
      <alignment horizontal="center"/>
    </xf>
    <xf numFmtId="0" fontId="13" fillId="0" borderId="26" xfId="19" applyFont="1" applyFill="1" applyBorder="1" applyAlignment="1" applyProtection="1"/>
    <xf numFmtId="0" fontId="3" fillId="0" borderId="26" xfId="19" applyFont="1" applyFill="1" applyBorder="1" applyAlignment="1" applyProtection="1"/>
    <xf numFmtId="43" fontId="3" fillId="0" borderId="41" xfId="1" applyFont="1" applyFill="1" applyBorder="1" applyAlignment="1" applyProtection="1">
      <alignment horizontal="right"/>
    </xf>
    <xf numFmtId="43" fontId="3" fillId="0" borderId="41" xfId="1" applyFont="1" applyFill="1" applyBorder="1" applyAlignment="1" applyProtection="1"/>
    <xf numFmtId="43" fontId="3" fillId="0" borderId="26" xfId="1" applyFont="1" applyFill="1" applyBorder="1" applyAlignment="1" applyProtection="1"/>
    <xf numFmtId="43" fontId="3" fillId="0" borderId="53" xfId="1" applyFont="1" applyFill="1" applyBorder="1" applyAlignment="1" applyProtection="1"/>
    <xf numFmtId="43" fontId="3" fillId="0" borderId="15" xfId="1" applyFont="1" applyFill="1" applyBorder="1" applyAlignment="1" applyProtection="1"/>
    <xf numFmtId="0" fontId="3" fillId="0" borderId="3" xfId="19" applyFont="1" applyFill="1" applyBorder="1" applyAlignment="1" applyProtection="1"/>
    <xf numFmtId="43" fontId="3" fillId="0" borderId="74" xfId="1" applyFont="1" applyFill="1" applyBorder="1" applyAlignment="1" applyProtection="1"/>
    <xf numFmtId="43" fontId="3" fillId="0" borderId="20" xfId="1" applyFont="1" applyFill="1" applyBorder="1" applyAlignment="1" applyProtection="1"/>
    <xf numFmtId="43" fontId="3" fillId="0" borderId="5" xfId="1" applyFont="1" applyFill="1" applyBorder="1" applyAlignment="1" applyProtection="1"/>
    <xf numFmtId="43" fontId="3" fillId="0" borderId="35" xfId="1" applyFont="1" applyFill="1" applyBorder="1" applyAlignment="1" applyProtection="1"/>
    <xf numFmtId="0" fontId="3" fillId="0" borderId="1" xfId="19" applyFill="1" applyBorder="1" applyProtection="1"/>
    <xf numFmtId="0" fontId="3" fillId="2" borderId="3" xfId="19" applyFont="1" applyFill="1" applyBorder="1" applyAlignment="1" applyProtection="1">
      <protection locked="0"/>
    </xf>
    <xf numFmtId="43" fontId="17" fillId="0" borderId="33" xfId="19" applyNumberFormat="1" applyFont="1" applyFill="1" applyBorder="1" applyAlignment="1" applyProtection="1">
      <alignment horizontal="center"/>
    </xf>
    <xf numFmtId="43" fontId="17" fillId="0" borderId="7" xfId="19" applyNumberFormat="1" applyFont="1" applyFill="1" applyBorder="1" applyAlignment="1" applyProtection="1">
      <alignment horizontal="center"/>
    </xf>
    <xf numFmtId="43" fontId="3" fillId="0" borderId="3" xfId="1" applyNumberFormat="1" applyFill="1" applyBorder="1" applyProtection="1"/>
    <xf numFmtId="43" fontId="3" fillId="0" borderId="7" xfId="1" applyNumberFormat="1" applyFill="1" applyBorder="1" applyProtection="1"/>
    <xf numFmtId="43" fontId="17" fillId="0" borderId="3" xfId="19" applyNumberFormat="1" applyFont="1" applyFill="1" applyBorder="1" applyAlignment="1" applyProtection="1">
      <alignment horizontal="center"/>
    </xf>
    <xf numFmtId="43" fontId="3" fillId="0" borderId="36" xfId="1" applyNumberFormat="1" applyFill="1" applyBorder="1" applyProtection="1"/>
    <xf numFmtId="43" fontId="17" fillId="0" borderId="32" xfId="19" applyNumberFormat="1" applyFont="1" applyFill="1" applyBorder="1" applyAlignment="1" applyProtection="1">
      <alignment horizontal="center"/>
    </xf>
    <xf numFmtId="43" fontId="3" fillId="0" borderId="11" xfId="1" applyNumberFormat="1" applyFill="1" applyBorder="1" applyProtection="1"/>
    <xf numFmtId="43" fontId="3" fillId="0" borderId="12" xfId="1" applyNumberFormat="1" applyFill="1" applyBorder="1" applyProtection="1"/>
    <xf numFmtId="14" fontId="3" fillId="0" borderId="0" xfId="19" applyNumberFormat="1" applyAlignment="1" applyProtection="1">
      <alignment horizontal="center"/>
    </xf>
    <xf numFmtId="0" fontId="22" fillId="0" borderId="0" xfId="19" applyFont="1" applyAlignment="1" applyProtection="1">
      <alignment horizontal="center"/>
    </xf>
    <xf numFmtId="14" fontId="22" fillId="0" borderId="0" xfId="19" applyNumberFormat="1" applyFont="1" applyBorder="1" applyAlignment="1" applyProtection="1">
      <alignment horizontal="center"/>
    </xf>
    <xf numFmtId="49" fontId="3" fillId="0" borderId="0" xfId="19" applyNumberFormat="1" applyAlignment="1" applyProtection="1">
      <alignment horizontal="center"/>
    </xf>
    <xf numFmtId="0" fontId="17" fillId="3" borderId="26" xfId="19" applyFont="1" applyFill="1" applyBorder="1" applyProtection="1"/>
    <xf numFmtId="49" fontId="6" fillId="0" borderId="0" xfId="19" applyNumberFormat="1" applyFont="1" applyAlignment="1" applyProtection="1">
      <alignment horizontal="center"/>
    </xf>
    <xf numFmtId="0" fontId="3" fillId="0" borderId="0" xfId="19" applyAlignment="1" applyProtection="1">
      <alignment vertical="center"/>
    </xf>
    <xf numFmtId="0" fontId="22" fillId="0" borderId="0" xfId="19" applyFont="1" applyAlignment="1" applyProtection="1">
      <alignment horizontal="center" vertical="center"/>
    </xf>
    <xf numFmtId="49" fontId="3" fillId="0" borderId="0" xfId="19" applyNumberFormat="1" applyFill="1" applyBorder="1" applyAlignment="1" applyProtection="1">
      <alignment horizontal="center"/>
    </xf>
    <xf numFmtId="43" fontId="3" fillId="0" borderId="0" xfId="1" applyFill="1" applyBorder="1" applyProtection="1"/>
    <xf numFmtId="10" fontId="3" fillId="0" borderId="0" xfId="13" applyNumberFormat="1" applyFill="1" applyBorder="1" applyProtection="1"/>
    <xf numFmtId="49" fontId="10" fillId="0" borderId="0" xfId="19" applyNumberFormat="1" applyFont="1" applyFill="1" applyBorder="1" applyAlignment="1" applyProtection="1">
      <alignment horizontal="center"/>
    </xf>
    <xf numFmtId="0" fontId="10" fillId="0" borderId="0" xfId="19" applyFont="1" applyFill="1" applyBorder="1" applyProtection="1"/>
    <xf numFmtId="0" fontId="10" fillId="0" borderId="0" xfId="19" applyFont="1" applyFill="1" applyBorder="1" applyAlignment="1" applyProtection="1">
      <alignment horizontal="right"/>
    </xf>
    <xf numFmtId="0" fontId="17" fillId="0" borderId="0" xfId="19" applyFont="1" applyFill="1" applyBorder="1" applyProtection="1"/>
    <xf numFmtId="0" fontId="38" fillId="0" borderId="0" xfId="19" applyFont="1" applyFill="1" applyProtection="1"/>
    <xf numFmtId="0" fontId="15" fillId="0" borderId="0" xfId="19" applyFont="1" applyFill="1" applyAlignment="1" applyProtection="1">
      <alignment horizontal="left"/>
    </xf>
    <xf numFmtId="0" fontId="3" fillId="0" borderId="69" xfId="19" applyFont="1" applyFill="1" applyBorder="1" applyProtection="1"/>
    <xf numFmtId="0" fontId="3" fillId="0" borderId="70" xfId="19" applyFill="1" applyBorder="1" applyProtection="1"/>
    <xf numFmtId="0" fontId="3" fillId="0" borderId="51" xfId="19" applyBorder="1" applyAlignment="1" applyProtection="1">
      <alignment horizontal="center"/>
    </xf>
    <xf numFmtId="14" fontId="3" fillId="0" borderId="11" xfId="19" applyNumberFormat="1" applyBorder="1" applyAlignment="1" applyProtection="1">
      <alignment horizontal="center"/>
    </xf>
    <xf numFmtId="43" fontId="3" fillId="3" borderId="11" xfId="1" applyFill="1" applyBorder="1" applyProtection="1"/>
    <xf numFmtId="49" fontId="38" fillId="0" borderId="0" xfId="19" applyNumberFormat="1" applyFont="1" applyAlignment="1" applyProtection="1">
      <alignment horizontal="left"/>
    </xf>
    <xf numFmtId="0" fontId="38" fillId="0" borderId="0" xfId="19" applyFont="1" applyProtection="1"/>
    <xf numFmtId="0" fontId="38" fillId="0" borderId="0" xfId="19" applyFont="1" applyAlignment="1" applyProtection="1">
      <alignment horizontal="right"/>
    </xf>
    <xf numFmtId="0" fontId="16" fillId="0" borderId="0" xfId="19" applyFont="1" applyAlignment="1" applyProtection="1">
      <alignment horizontal="center"/>
    </xf>
    <xf numFmtId="0" fontId="38" fillId="0" borderId="0" xfId="19" applyFont="1" applyAlignment="1" applyProtection="1">
      <alignment horizontal="left"/>
    </xf>
    <xf numFmtId="0" fontId="17" fillId="0" borderId="0" xfId="19" applyFont="1" applyProtection="1"/>
    <xf numFmtId="49" fontId="3" fillId="0" borderId="23" xfId="19" applyNumberFormat="1" applyFill="1" applyBorder="1" applyAlignment="1" applyProtection="1">
      <alignment horizontal="center"/>
    </xf>
    <xf numFmtId="0" fontId="3" fillId="0" borderId="23" xfId="19" applyBorder="1" applyAlignment="1" applyProtection="1">
      <alignment horizontal="right"/>
    </xf>
    <xf numFmtId="43" fontId="3" fillId="0" borderId="12" xfId="1" applyBorder="1" applyProtection="1"/>
    <xf numFmtId="0" fontId="3" fillId="0" borderId="31" xfId="19" applyBorder="1" applyAlignment="1" applyProtection="1">
      <alignment horizontal="right"/>
    </xf>
    <xf numFmtId="49" fontId="10" fillId="0" borderId="0" xfId="19" applyNumberFormat="1" applyFont="1" applyBorder="1" applyAlignment="1" applyProtection="1">
      <alignment horizontal="left"/>
    </xf>
    <xf numFmtId="0" fontId="10" fillId="0" borderId="0" xfId="19" applyFont="1" applyBorder="1" applyProtection="1"/>
    <xf numFmtId="0" fontId="10" fillId="0" borderId="0" xfId="19" applyFont="1" applyBorder="1" applyAlignment="1" applyProtection="1">
      <alignment horizontal="right"/>
    </xf>
    <xf numFmtId="0" fontId="6" fillId="0" borderId="0" xfId="19" applyFont="1" applyFill="1" applyAlignment="1" applyProtection="1">
      <alignment horizontal="center"/>
    </xf>
    <xf numFmtId="43" fontId="3" fillId="0" borderId="29" xfId="1" applyFill="1" applyBorder="1" applyAlignment="1" applyProtection="1">
      <alignment horizontal="right"/>
    </xf>
    <xf numFmtId="0" fontId="3" fillId="0" borderId="19" xfId="19" applyFill="1" applyBorder="1" applyAlignment="1" applyProtection="1">
      <alignment horizontal="right"/>
    </xf>
    <xf numFmtId="0" fontId="3" fillId="0" borderId="26" xfId="19" applyFont="1" applyFill="1" applyBorder="1" applyProtection="1"/>
    <xf numFmtId="0" fontId="3" fillId="0" borderId="23" xfId="19" applyFont="1" applyFill="1" applyBorder="1" applyProtection="1"/>
    <xf numFmtId="43" fontId="3" fillId="0" borderId="19" xfId="1" applyFill="1" applyBorder="1" applyAlignment="1" applyProtection="1">
      <alignment horizontal="right"/>
    </xf>
    <xf numFmtId="0" fontId="3" fillId="0" borderId="31" xfId="19" applyFill="1" applyBorder="1" applyProtection="1"/>
    <xf numFmtId="0" fontId="3" fillId="0" borderId="30" xfId="19" applyFill="1" applyBorder="1" applyProtection="1"/>
    <xf numFmtId="0" fontId="6" fillId="0" borderId="0" xfId="19" applyFont="1" applyAlignment="1" applyProtection="1">
      <alignment horizontal="center"/>
    </xf>
    <xf numFmtId="0" fontId="3" fillId="0" borderId="1" xfId="19" applyBorder="1" applyProtection="1"/>
    <xf numFmtId="43" fontId="3" fillId="0" borderId="29" xfId="1" applyBorder="1" applyAlignment="1" applyProtection="1">
      <alignment horizontal="right"/>
    </xf>
    <xf numFmtId="43" fontId="3" fillId="0" borderId="20" xfId="1" applyBorder="1" applyAlignment="1" applyProtection="1">
      <alignment horizontal="right"/>
    </xf>
    <xf numFmtId="0" fontId="3" fillId="0" borderId="26" xfId="19" applyBorder="1" applyProtection="1"/>
    <xf numFmtId="0" fontId="3" fillId="0" borderId="19" xfId="19" applyBorder="1" applyAlignment="1" applyProtection="1">
      <alignment horizontal="right"/>
    </xf>
    <xf numFmtId="43" fontId="3" fillId="0" borderId="19" xfId="19" applyNumberFormat="1" applyBorder="1" applyProtection="1"/>
    <xf numFmtId="0" fontId="3" fillId="0" borderId="18" xfId="19" applyFont="1" applyFill="1" applyBorder="1" applyProtection="1"/>
    <xf numFmtId="43" fontId="3" fillId="0" borderId="20" xfId="19" applyNumberFormat="1" applyBorder="1" applyProtection="1"/>
    <xf numFmtId="0" fontId="3" fillId="0" borderId="30" xfId="19" applyBorder="1" applyProtection="1"/>
    <xf numFmtId="0" fontId="3" fillId="0" borderId="2" xfId="19" applyFont="1" applyFill="1" applyBorder="1" applyAlignment="1" applyProtection="1">
      <alignment horizontal="center" vertical="center"/>
    </xf>
    <xf numFmtId="0" fontId="3" fillId="0" borderId="37" xfId="19" applyBorder="1" applyAlignment="1" applyProtection="1">
      <alignment horizontal="center" vertical="center" wrapText="1"/>
    </xf>
    <xf numFmtId="0" fontId="3" fillId="0" borderId="23" xfId="19" applyBorder="1" applyProtection="1">
      <protection locked="0"/>
    </xf>
    <xf numFmtId="0" fontId="3" fillId="0" borderId="18" xfId="19" applyBorder="1" applyAlignment="1" applyProtection="1">
      <alignment horizontal="right"/>
    </xf>
    <xf numFmtId="0" fontId="3" fillId="0" borderId="3" xfId="19" applyBorder="1" applyAlignment="1" applyProtection="1">
      <alignment horizontal="right"/>
    </xf>
    <xf numFmtId="0" fontId="16" fillId="0" borderId="5" xfId="19" applyFont="1" applyBorder="1" applyProtection="1"/>
    <xf numFmtId="0" fontId="3" fillId="0" borderId="5" xfId="19" applyBorder="1" applyProtection="1"/>
    <xf numFmtId="0" fontId="3" fillId="0" borderId="38" xfId="19" applyBorder="1" applyProtection="1"/>
    <xf numFmtId="0" fontId="16" fillId="0" borderId="26" xfId="19" applyFont="1" applyBorder="1" applyProtection="1"/>
    <xf numFmtId="0" fontId="3" fillId="0" borderId="26" xfId="19" applyBorder="1" applyAlignment="1" applyProtection="1">
      <alignment horizontal="right"/>
    </xf>
    <xf numFmtId="0" fontId="3" fillId="0" borderId="0" xfId="19" applyFont="1" applyFill="1" applyAlignment="1" applyProtection="1">
      <alignment horizontal="center"/>
    </xf>
    <xf numFmtId="0" fontId="3" fillId="0" borderId="8" xfId="19" applyFill="1" applyBorder="1" applyAlignment="1" applyProtection="1">
      <alignment horizontal="center"/>
    </xf>
    <xf numFmtId="43" fontId="3" fillId="0" borderId="8" xfId="1" applyFill="1" applyBorder="1" applyProtection="1"/>
    <xf numFmtId="14" fontId="3" fillId="0" borderId="18" xfId="19" quotePrefix="1" applyNumberFormat="1" applyFill="1" applyBorder="1" applyProtection="1"/>
    <xf numFmtId="0" fontId="3" fillId="0" borderId="3" xfId="19" quotePrefix="1" applyFont="1" applyFill="1" applyBorder="1" applyProtection="1"/>
    <xf numFmtId="43" fontId="0" fillId="0" borderId="30" xfId="1" applyFont="1" applyFill="1" applyBorder="1" applyProtection="1"/>
    <xf numFmtId="0" fontId="3" fillId="0" borderId="37" xfId="19" applyFill="1" applyBorder="1" applyAlignment="1" applyProtection="1">
      <alignment horizontal="center" vertical="center" wrapText="1"/>
    </xf>
    <xf numFmtId="43" fontId="3" fillId="0" borderId="20" xfId="1" applyFill="1" applyBorder="1" applyProtection="1"/>
    <xf numFmtId="0" fontId="3" fillId="0" borderId="29" xfId="19" applyFont="1" applyFill="1" applyBorder="1" applyProtection="1"/>
    <xf numFmtId="0" fontId="3" fillId="0" borderId="12" xfId="19" applyFont="1" applyFill="1" applyBorder="1" applyProtection="1"/>
    <xf numFmtId="0" fontId="3" fillId="3" borderId="23" xfId="19" applyFill="1" applyBorder="1" applyProtection="1"/>
    <xf numFmtId="0" fontId="3" fillId="3" borderId="31" xfId="19" applyFill="1" applyBorder="1" applyAlignment="1" applyProtection="1">
      <alignment horizontal="right"/>
    </xf>
    <xf numFmtId="0" fontId="3" fillId="3" borderId="11" xfId="19" applyFill="1" applyBorder="1" applyProtection="1"/>
    <xf numFmtId="0" fontId="3" fillId="3" borderId="14" xfId="19" applyFill="1" applyBorder="1" applyProtection="1"/>
    <xf numFmtId="43" fontId="3" fillId="0" borderId="35" xfId="1" applyBorder="1" applyProtection="1">
      <protection locked="0"/>
    </xf>
    <xf numFmtId="0" fontId="16" fillId="0" borderId="0" xfId="19" applyFont="1" applyProtection="1"/>
    <xf numFmtId="0" fontId="3" fillId="0" borderId="9" xfId="19" applyBorder="1" applyAlignment="1" applyProtection="1">
      <alignment horizontal="center"/>
    </xf>
    <xf numFmtId="0" fontId="3" fillId="0" borderId="8" xfId="19" applyBorder="1" applyAlignment="1" applyProtection="1">
      <alignment horizontal="center"/>
    </xf>
    <xf numFmtId="14" fontId="3" fillId="0" borderId="18" xfId="19" quotePrefix="1" applyNumberFormat="1" applyBorder="1" applyProtection="1"/>
    <xf numFmtId="0" fontId="3" fillId="0" borderId="3" xfId="19" quotePrefix="1" applyBorder="1" applyProtection="1"/>
    <xf numFmtId="43" fontId="3" fillId="0" borderId="0" xfId="19" applyNumberFormat="1" applyFill="1" applyBorder="1" applyAlignment="1" applyProtection="1">
      <alignment horizontal="center"/>
    </xf>
    <xf numFmtId="43" fontId="3" fillId="0" borderId="20" xfId="1" applyBorder="1" applyProtection="1"/>
    <xf numFmtId="43" fontId="3" fillId="0" borderId="0" xfId="19" applyNumberFormat="1" applyBorder="1" applyAlignment="1" applyProtection="1">
      <alignment horizontal="center"/>
    </xf>
    <xf numFmtId="0" fontId="3" fillId="0" borderId="29" xfId="19" applyBorder="1" applyProtection="1"/>
    <xf numFmtId="0" fontId="3" fillId="0" borderId="4" xfId="19" applyFill="1" applyBorder="1" applyAlignment="1" applyProtection="1">
      <alignment horizontal="center"/>
      <protection locked="0"/>
    </xf>
    <xf numFmtId="0" fontId="3" fillId="0" borderId="19" xfId="19" applyFill="1" applyBorder="1" applyProtection="1"/>
    <xf numFmtId="43" fontId="3" fillId="0" borderId="33" xfId="1" applyFill="1" applyBorder="1" applyAlignment="1" applyProtection="1"/>
    <xf numFmtId="43" fontId="3" fillId="0" borderId="47" xfId="1" applyFill="1" applyBorder="1" applyAlignment="1" applyProtection="1"/>
    <xf numFmtId="49" fontId="38" fillId="0" borderId="0" xfId="19" applyNumberFormat="1" applyFont="1" applyFill="1" applyAlignment="1" applyProtection="1">
      <alignment horizontal="left"/>
    </xf>
    <xf numFmtId="0" fontId="38" fillId="0" borderId="0" xfId="19" applyFont="1" applyFill="1" applyAlignment="1" applyProtection="1">
      <alignment horizontal="right"/>
    </xf>
    <xf numFmtId="0" fontId="38" fillId="0" borderId="0" xfId="19" applyFont="1" applyFill="1" applyAlignment="1" applyProtection="1">
      <alignment horizontal="left"/>
    </xf>
    <xf numFmtId="49" fontId="10" fillId="0" borderId="0" xfId="19" applyNumberFormat="1" applyFont="1" applyAlignment="1" applyProtection="1">
      <alignment horizontal="left"/>
    </xf>
    <xf numFmtId="0" fontId="10" fillId="0" borderId="0" xfId="19" applyFont="1" applyAlignment="1" applyProtection="1">
      <alignment horizontal="right"/>
    </xf>
    <xf numFmtId="43" fontId="3" fillId="0" borderId="47" xfId="1" applyFill="1" applyBorder="1" applyProtection="1"/>
    <xf numFmtId="49" fontId="3" fillId="2" borderId="3" xfId="19" applyNumberFormat="1" applyFill="1" applyBorder="1" applyAlignment="1" applyProtection="1">
      <alignment horizontal="left"/>
    </xf>
    <xf numFmtId="0" fontId="3" fillId="2" borderId="3" xfId="19" applyFill="1" applyBorder="1" applyProtection="1"/>
    <xf numFmtId="0" fontId="3" fillId="2" borderId="20" xfId="19" applyFill="1" applyBorder="1" applyProtection="1"/>
    <xf numFmtId="43" fontId="3" fillId="2" borderId="7" xfId="1" applyFill="1" applyBorder="1" applyProtection="1"/>
    <xf numFmtId="43" fontId="3" fillId="2" borderId="17" xfId="1" applyFill="1" applyBorder="1" applyProtection="1"/>
    <xf numFmtId="49" fontId="3" fillId="2" borderId="3" xfId="19" quotePrefix="1" applyNumberFormat="1" applyFill="1" applyBorder="1" applyAlignment="1" applyProtection="1">
      <alignment horizontal="left"/>
    </xf>
    <xf numFmtId="43" fontId="0" fillId="2" borderId="7" xfId="1" applyFont="1" applyFill="1" applyBorder="1" applyProtection="1"/>
    <xf numFmtId="43" fontId="3" fillId="2" borderId="6" xfId="1" applyFill="1" applyBorder="1" applyProtection="1"/>
    <xf numFmtId="0" fontId="3" fillId="2" borderId="20" xfId="19" applyFill="1" applyBorder="1" applyAlignment="1" applyProtection="1">
      <alignment horizontal="right"/>
    </xf>
    <xf numFmtId="43" fontId="3" fillId="2" borderId="25" xfId="1" applyFill="1" applyBorder="1" applyProtection="1"/>
    <xf numFmtId="43" fontId="3" fillId="2" borderId="50" xfId="1" applyFill="1" applyBorder="1" applyProtection="1"/>
    <xf numFmtId="43" fontId="3"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1" fillId="0" borderId="0" xfId="0" applyFont="1"/>
    <xf numFmtId="43" fontId="3"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3" fillId="0" borderId="8" xfId="0" applyFont="1" applyBorder="1"/>
    <xf numFmtId="0" fontId="3"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3"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3" fillId="2" borderId="33" xfId="19" applyNumberFormat="1" applyFill="1" applyBorder="1" applyAlignment="1" applyProtection="1">
      <protection locked="0"/>
    </xf>
    <xf numFmtId="14" fontId="3" fillId="2" borderId="7" xfId="19" applyNumberFormat="1" applyFill="1" applyBorder="1" applyAlignment="1" applyProtection="1">
      <protection locked="0"/>
    </xf>
    <xf numFmtId="0" fontId="3" fillId="2" borderId="7" xfId="19" applyFill="1" applyBorder="1" applyAlignment="1" applyProtection="1">
      <protection locked="0"/>
    </xf>
    <xf numFmtId="0" fontId="3" fillId="2" borderId="6" xfId="19" applyFill="1" applyBorder="1" applyAlignment="1" applyProtection="1">
      <protection locked="0"/>
    </xf>
    <xf numFmtId="49" fontId="3" fillId="0" borderId="23" xfId="19" applyNumberFormat="1" applyBorder="1" applyAlignment="1" applyProtection="1">
      <alignment horizontal="center"/>
      <protection locked="0"/>
    </xf>
    <xf numFmtId="0" fontId="3" fillId="3" borderId="23" xfId="19" applyFill="1" applyBorder="1" applyProtection="1">
      <protection locked="0"/>
    </xf>
    <xf numFmtId="0" fontId="3" fillId="3" borderId="31" xfId="19" applyFill="1" applyBorder="1" applyAlignment="1" applyProtection="1">
      <alignment horizontal="right"/>
      <protection locked="0"/>
    </xf>
    <xf numFmtId="49" fontId="3" fillId="2" borderId="20" xfId="19" applyNumberFormat="1" applyFill="1" applyBorder="1" applyAlignment="1" applyProtection="1">
      <alignment horizontal="left"/>
      <protection locked="0"/>
    </xf>
    <xf numFmtId="43" fontId="3" fillId="0" borderId="20" xfId="1" applyFill="1" applyBorder="1" applyAlignment="1" applyProtection="1">
      <alignment horizontal="center"/>
    </xf>
    <xf numFmtId="0" fontId="22" fillId="0" borderId="0" xfId="19" applyFont="1" applyFill="1" applyBorder="1" applyProtection="1"/>
    <xf numFmtId="0" fontId="3" fillId="0" borderId="0" xfId="19" applyFont="1" applyFill="1" applyBorder="1" applyProtection="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2" fillId="0" borderId="0" xfId="0" applyFont="1"/>
    <xf numFmtId="0" fontId="3" fillId="2" borderId="93" xfId="0" applyNumberFormat="1" applyFont="1" applyFill="1" applyBorder="1" applyAlignment="1" applyProtection="1">
      <alignment horizontal="left"/>
      <protection locked="0"/>
    </xf>
    <xf numFmtId="43" fontId="13" fillId="0" borderId="26" xfId="1" applyFont="1" applyFill="1" applyBorder="1" applyProtection="1"/>
    <xf numFmtId="43" fontId="13" fillId="2" borderId="26" xfId="1" applyFont="1" applyFill="1" applyBorder="1" applyProtection="1">
      <protection locked="0"/>
    </xf>
    <xf numFmtId="43" fontId="13" fillId="2" borderId="32" xfId="1" applyFont="1" applyFill="1" applyBorder="1" applyProtection="1">
      <protection locked="0"/>
    </xf>
    <xf numFmtId="43" fontId="13" fillId="0" borderId="27" xfId="1" applyFont="1" applyFill="1" applyBorder="1" applyProtection="1"/>
    <xf numFmtId="43" fontId="3" fillId="2" borderId="27" xfId="1" applyFont="1" applyFill="1" applyBorder="1" applyProtection="1">
      <protection locked="0"/>
    </xf>
    <xf numFmtId="49" fontId="10" fillId="2" borderId="3" xfId="0" applyNumberFormat="1" applyFont="1" applyFill="1" applyBorder="1" applyAlignment="1" applyProtection="1">
      <alignment horizontal="left"/>
      <protection locked="0"/>
    </xf>
    <xf numFmtId="43" fontId="0" fillId="2" borderId="18" xfId="1" quotePrefix="1" applyFont="1" applyFill="1" applyBorder="1" applyProtection="1">
      <protection locked="0"/>
    </xf>
    <xf numFmtId="0" fontId="0" fillId="2" borderId="18" xfId="0" quotePrefix="1" applyFill="1" applyBorder="1" applyProtection="1">
      <protection locked="0"/>
    </xf>
    <xf numFmtId="0" fontId="0" fillId="2" borderId="3" xfId="0" quotePrefix="1" applyFill="1" applyBorder="1" applyProtection="1">
      <protection locked="0"/>
    </xf>
    <xf numFmtId="0" fontId="45" fillId="3" borderId="0" xfId="0" applyFont="1" applyFill="1" applyProtection="1">
      <protection locked="0"/>
    </xf>
    <xf numFmtId="17" fontId="14" fillId="3" borderId="0" xfId="0" applyNumberFormat="1" applyFont="1" applyFill="1" applyAlignment="1" applyProtection="1">
      <alignment horizontal="center"/>
      <protection locked="0"/>
    </xf>
    <xf numFmtId="0" fontId="14" fillId="3" borderId="0" xfId="0" applyFont="1" applyFill="1" applyProtection="1">
      <protection locked="0"/>
    </xf>
    <xf numFmtId="17" fontId="14" fillId="3" borderId="0" xfId="0" quotePrefix="1" applyNumberFormat="1" applyFont="1" applyFill="1" applyAlignment="1" applyProtection="1">
      <alignment horizontal="center"/>
      <protection locked="0"/>
    </xf>
    <xf numFmtId="0" fontId="14" fillId="0" borderId="0" xfId="0" applyFont="1" applyProtection="1">
      <protection locked="0"/>
    </xf>
    <xf numFmtId="0" fontId="14" fillId="0" borderId="0" xfId="0" quotePrefix="1" applyFont="1" applyAlignment="1" applyProtection="1">
      <alignment horizontal="center"/>
      <protection locked="0"/>
    </xf>
    <xf numFmtId="0" fontId="45" fillId="3" borderId="0" xfId="0" applyFont="1" applyFill="1" applyAlignment="1" applyProtection="1">
      <alignment horizontal="left" indent="1"/>
      <protection locked="0"/>
    </xf>
    <xf numFmtId="0" fontId="45" fillId="3" borderId="0" xfId="87" applyFont="1" applyFill="1" applyProtection="1">
      <protection locked="0"/>
    </xf>
    <xf numFmtId="14" fontId="3" fillId="2" borderId="7" xfId="1" applyNumberFormat="1" applyFill="1" applyBorder="1" applyProtection="1">
      <protection locked="0"/>
    </xf>
    <xf numFmtId="43" fontId="0" fillId="0" borderId="0" xfId="1" applyFont="1" applyFill="1" applyProtection="1">
      <protection locked="0"/>
    </xf>
    <xf numFmtId="43" fontId="14" fillId="0" borderId="26" xfId="0" applyNumberFormat="1" applyFont="1" applyFill="1" applyBorder="1" applyProtection="1">
      <protection locked="0"/>
    </xf>
    <xf numFmtId="0" fontId="23"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9" fontId="17" fillId="0" borderId="0" xfId="0" applyNumberFormat="1" applyFont="1" applyAlignment="1">
      <alignment horizontal="center"/>
    </xf>
    <xf numFmtId="0" fontId="17" fillId="0" borderId="0" xfId="0" applyFont="1" applyAlignment="1">
      <alignment horizontal="center"/>
    </xf>
    <xf numFmtId="0" fontId="27" fillId="0" borderId="0" xfId="0" applyFont="1" applyAlignment="1">
      <alignment horizontal="center"/>
    </xf>
    <xf numFmtId="0" fontId="15" fillId="0" borderId="0" xfId="0" applyFont="1" applyAlignment="1">
      <alignment horizontal="center"/>
    </xf>
    <xf numFmtId="14" fontId="17"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3"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7" fillId="0" borderId="26" xfId="0" applyFont="1" applyBorder="1" applyAlignment="1">
      <alignment horizontal="center"/>
    </xf>
    <xf numFmtId="0" fontId="10"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5" fillId="0" borderId="26" xfId="0" applyFont="1" applyBorder="1" applyAlignment="1">
      <alignment horizontal="center"/>
    </xf>
    <xf numFmtId="0" fontId="3"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0"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0" borderId="26" xfId="0" applyFont="1" applyFill="1" applyBorder="1" applyAlignment="1" applyProtection="1">
      <alignment horizontal="left"/>
    </xf>
    <xf numFmtId="0" fontId="0" fillId="0" borderId="3" xfId="0" applyBorder="1" applyAlignment="1">
      <alignment horizontal="center"/>
    </xf>
    <xf numFmtId="0" fontId="16" fillId="0" borderId="5" xfId="0" applyFont="1" applyBorder="1" applyAlignment="1">
      <alignment horizontal="center"/>
    </xf>
    <xf numFmtId="0" fontId="0" fillId="2" borderId="26" xfId="0" applyFill="1" applyBorder="1" applyAlignment="1" applyProtection="1">
      <alignment horizontal="center"/>
      <protection locked="0"/>
    </xf>
    <xf numFmtId="0" fontId="16" fillId="0" borderId="0" xfId="0" applyFont="1" applyBorder="1" applyAlignment="1">
      <alignment horizontal="center"/>
    </xf>
    <xf numFmtId="0" fontId="23" fillId="0" borderId="26" xfId="0" applyFont="1" applyBorder="1" applyAlignment="1">
      <alignment horizontal="center"/>
    </xf>
    <xf numFmtId="0" fontId="3" fillId="2" borderId="26" xfId="0" applyFont="1" applyFill="1" applyBorder="1" applyAlignment="1" applyProtection="1">
      <alignment horizontal="center"/>
      <protection locked="0"/>
    </xf>
    <xf numFmtId="14" fontId="23" fillId="0" borderId="26" xfId="0" applyNumberFormat="1" applyFont="1" applyBorder="1" applyAlignment="1">
      <alignment horizontal="center"/>
    </xf>
    <xf numFmtId="0" fontId="17"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0" fillId="2" borderId="3" xfId="0" applyFill="1" applyBorder="1" applyAlignment="1">
      <alignment horizontal="center"/>
    </xf>
    <xf numFmtId="0" fontId="24" fillId="0" borderId="0" xfId="0" applyFont="1" applyAlignment="1">
      <alignment horizontal="center"/>
    </xf>
    <xf numFmtId="164" fontId="17"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3" fillId="2" borderId="26" xfId="1" applyFill="1" applyBorder="1" applyAlignment="1" applyProtection="1">
      <alignment horizontal="center"/>
      <protection locked="0"/>
    </xf>
    <xf numFmtId="0" fontId="5" fillId="0" borderId="0" xfId="0" applyFont="1" applyAlignment="1">
      <alignment horizontal="center"/>
    </xf>
    <xf numFmtId="0" fontId="18" fillId="0" borderId="0" xfId="0" applyFont="1" applyAlignment="1">
      <alignment horizontal="center"/>
    </xf>
    <xf numFmtId="43" fontId="0" fillId="2" borderId="26" xfId="1" applyFont="1" applyFill="1" applyBorder="1" applyAlignment="1" applyProtection="1">
      <alignment horizontal="center"/>
      <protection locked="0"/>
    </xf>
    <xf numFmtId="0" fontId="70"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7" fillId="0" borderId="0" xfId="0" applyFont="1" applyAlignment="1">
      <alignment horizontal="center"/>
    </xf>
    <xf numFmtId="14" fontId="6" fillId="0" borderId="0" xfId="0" applyNumberFormat="1" applyFont="1" applyAlignment="1">
      <alignment horizontal="center"/>
    </xf>
    <xf numFmtId="0" fontId="8" fillId="0" borderId="8" xfId="0" applyFont="1" applyBorder="1" applyAlignment="1">
      <alignment horizontal="center" vertical="top"/>
    </xf>
    <xf numFmtId="0" fontId="3" fillId="2" borderId="3"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11" fillId="0" borderId="0" xfId="0" applyFont="1" applyAlignment="1">
      <alignment horizontal="center"/>
    </xf>
    <xf numFmtId="0" fontId="17" fillId="0" borderId="0" xfId="0" applyFont="1" applyAlignment="1" applyProtection="1">
      <alignment horizontal="center"/>
    </xf>
    <xf numFmtId="0" fontId="23"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5" fillId="0" borderId="0" xfId="0" applyFont="1" applyAlignment="1" applyProtection="1">
      <alignment horizontal="center"/>
    </xf>
    <xf numFmtId="0" fontId="11" fillId="0" borderId="0" xfId="0" applyFont="1" applyAlignment="1" applyProtection="1">
      <alignment horizontal="center"/>
    </xf>
    <xf numFmtId="14" fontId="6" fillId="0" borderId="0" xfId="0" applyNumberFormat="1" applyFont="1" applyAlignment="1" applyProtection="1">
      <alignment horizontal="center"/>
    </xf>
    <xf numFmtId="0" fontId="6" fillId="0" borderId="0" xfId="0" applyFont="1" applyAlignment="1" applyProtection="1">
      <alignment horizontal="center"/>
    </xf>
    <xf numFmtId="0" fontId="3"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2" fillId="0" borderId="0" xfId="0" applyFont="1" applyAlignment="1">
      <alignment horizontal="center"/>
    </xf>
    <xf numFmtId="49" fontId="23" fillId="0" borderId="0" xfId="0" applyNumberFormat="1" applyFont="1" applyAlignment="1">
      <alignment horizontal="center"/>
    </xf>
    <xf numFmtId="0" fontId="6" fillId="0" borderId="64" xfId="0" applyFont="1" applyBorder="1" applyAlignment="1">
      <alignment horizontal="center" vertical="top"/>
    </xf>
    <xf numFmtId="0" fontId="6" fillId="0" borderId="26" xfId="0" applyFont="1" applyBorder="1" applyAlignment="1">
      <alignment horizontal="center" vertical="top"/>
    </xf>
    <xf numFmtId="0" fontId="6" fillId="0" borderId="41" xfId="0" applyFont="1" applyBorder="1" applyAlignment="1">
      <alignment horizontal="center" vertical="top"/>
    </xf>
    <xf numFmtId="0" fontId="23" fillId="0" borderId="0" xfId="0" applyFont="1" applyAlignment="1">
      <alignment horizontal="center" vertical="center" textRotation="180" wrapText="1"/>
    </xf>
    <xf numFmtId="0" fontId="14" fillId="0" borderId="0" xfId="0" applyFont="1" applyAlignment="1">
      <alignment horizontal="left"/>
    </xf>
    <xf numFmtId="0" fontId="4"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3" fillId="0" borderId="3" xfId="0" applyFont="1" applyFill="1" applyBorder="1" applyAlignment="1" applyProtection="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3" fillId="0" borderId="0" xfId="0" applyFont="1" applyFill="1" applyAlignment="1">
      <alignment horizontal="center"/>
    </xf>
    <xf numFmtId="0" fontId="6" fillId="0" borderId="0" xfId="0" applyFont="1" applyFill="1" applyAlignment="1">
      <alignment horizontal="center"/>
    </xf>
    <xf numFmtId="0" fontId="4" fillId="0" borderId="0" xfId="0" applyFont="1" applyFill="1" applyBorder="1" applyAlignment="1">
      <alignment horizontal="center"/>
    </xf>
    <xf numFmtId="0" fontId="0" fillId="0" borderId="0" xfId="0" applyFill="1" applyAlignment="1">
      <alignment horizontal="center"/>
    </xf>
    <xf numFmtId="0" fontId="4" fillId="0" borderId="0" xfId="0" applyFont="1" applyBorder="1" applyAlignment="1" applyProtection="1">
      <alignment horizontal="center"/>
    </xf>
    <xf numFmtId="0" fontId="0" fillId="0" borderId="21" xfId="0" applyBorder="1" applyAlignment="1">
      <alignment horizontal="center"/>
    </xf>
    <xf numFmtId="0" fontId="12"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3"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52" fillId="2" borderId="18" xfId="0" applyFont="1" applyFill="1" applyBorder="1" applyAlignment="1" applyProtection="1">
      <alignment horizontal="left"/>
      <protection locked="0"/>
    </xf>
    <xf numFmtId="0" fontId="52" fillId="2" borderId="19" xfId="0" applyFont="1" applyFill="1" applyBorder="1" applyAlignment="1" applyProtection="1">
      <alignment horizontal="left"/>
      <protection locked="0"/>
    </xf>
    <xf numFmtId="0" fontId="13" fillId="2" borderId="3" xfId="0" applyFont="1" applyFill="1" applyBorder="1" applyAlignment="1" applyProtection="1">
      <alignment horizontal="left"/>
      <protection locked="0"/>
    </xf>
    <xf numFmtId="0" fontId="13" fillId="2" borderId="20" xfId="0" applyFont="1" applyFill="1" applyBorder="1" applyAlignment="1" applyProtection="1">
      <alignment horizontal="left"/>
      <protection locked="0"/>
    </xf>
    <xf numFmtId="0" fontId="13" fillId="2" borderId="3" xfId="0" applyFont="1" applyFill="1" applyBorder="1" applyAlignment="1" applyProtection="1">
      <alignment horizontal="center"/>
      <protection locked="0"/>
    </xf>
    <xf numFmtId="0" fontId="13" fillId="2" borderId="20" xfId="0" applyFont="1" applyFill="1" applyBorder="1" applyAlignment="1" applyProtection="1">
      <alignment horizontal="center"/>
      <protection locked="0"/>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0" fillId="0" borderId="0" xfId="0" applyAlignment="1"/>
    <xf numFmtId="0" fontId="14"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43" fontId="13" fillId="0" borderId="53" xfId="1" applyFont="1" applyFill="1" applyBorder="1" applyAlignment="1" applyProtection="1">
      <alignment horizontal="center"/>
    </xf>
    <xf numFmtId="43" fontId="13" fillId="0" borderId="64" xfId="1" applyFont="1" applyFill="1" applyBorder="1" applyAlignment="1" applyProtection="1">
      <alignment horizontal="center"/>
    </xf>
    <xf numFmtId="43" fontId="17" fillId="0" borderId="6" xfId="1" applyFont="1" applyFill="1" applyBorder="1" applyAlignment="1">
      <alignment horizontal="center"/>
    </xf>
    <xf numFmtId="43" fontId="17" fillId="0" borderId="27" xfId="1" applyFont="1" applyFill="1" applyBorder="1" applyAlignment="1">
      <alignment horizontal="center"/>
    </xf>
    <xf numFmtId="0" fontId="17" fillId="0" borderId="1" xfId="0" applyFont="1" applyBorder="1" applyAlignment="1">
      <alignment horizontal="center" vertical="center"/>
    </xf>
    <xf numFmtId="0" fontId="17" fillId="0" borderId="1" xfId="0" applyFont="1" applyBorder="1" applyAlignment="1" applyProtection="1">
      <alignment horizontal="center" vertical="center"/>
    </xf>
    <xf numFmtId="0" fontId="16" fillId="0" borderId="3" xfId="0" applyFont="1" applyBorder="1" applyAlignment="1">
      <alignment wrapText="1"/>
    </xf>
    <xf numFmtId="1" fontId="5" fillId="0" borderId="0" xfId="0" applyNumberFormat="1" applyFont="1" applyAlignment="1">
      <alignment horizontal="center"/>
    </xf>
    <xf numFmtId="0" fontId="16" fillId="0" borderId="3" xfId="0" applyFont="1" applyBorder="1" applyAlignment="1" applyProtection="1">
      <alignment wrapText="1"/>
    </xf>
    <xf numFmtId="0" fontId="0" fillId="0" borderId="37" xfId="0" applyBorder="1" applyAlignment="1">
      <alignment horizontal="center" vertical="center"/>
    </xf>
    <xf numFmtId="0" fontId="16" fillId="0" borderId="20" xfId="0" applyFont="1" applyBorder="1" applyAlignment="1">
      <alignment wrapText="1"/>
    </xf>
    <xf numFmtId="49" fontId="23" fillId="0" borderId="0" xfId="0" applyNumberFormat="1" applyFont="1" applyAlignment="1" applyProtection="1">
      <alignment horizontal="center"/>
    </xf>
    <xf numFmtId="49" fontId="6" fillId="0" borderId="0" xfId="0" applyNumberFormat="1" applyFont="1" applyAlignment="1">
      <alignment horizontal="center"/>
    </xf>
    <xf numFmtId="0" fontId="22" fillId="0" borderId="0" xfId="0" applyFont="1" applyAlignment="1">
      <alignment horizontal="center" vertical="center"/>
    </xf>
    <xf numFmtId="49" fontId="24" fillId="0" borderId="0" xfId="0" applyNumberFormat="1" applyFont="1" applyAlignment="1">
      <alignment horizontal="center"/>
    </xf>
    <xf numFmtId="0" fontId="3"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43" fontId="0" fillId="2" borderId="26" xfId="1" applyFont="1" applyFill="1" applyBorder="1" applyAlignment="1" applyProtection="1">
      <alignment horizontal="left"/>
      <protection locked="0"/>
    </xf>
    <xf numFmtId="0" fontId="10" fillId="0" borderId="5" xfId="0" applyFont="1" applyBorder="1" applyAlignment="1" applyProtection="1">
      <alignment horizontal="center"/>
    </xf>
    <xf numFmtId="0" fontId="6" fillId="0" borderId="64" xfId="0" applyFont="1" applyBorder="1" applyAlignment="1" applyProtection="1">
      <alignment horizontal="center" vertical="top"/>
    </xf>
    <xf numFmtId="0" fontId="6"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6"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7" fillId="0" borderId="29" xfId="1" applyFont="1" applyBorder="1" applyAlignment="1">
      <alignment horizontal="center"/>
    </xf>
    <xf numFmtId="43" fontId="17" fillId="0" borderId="20" xfId="1" applyFont="1" applyBorder="1" applyAlignment="1">
      <alignment horizontal="center"/>
    </xf>
    <xf numFmtId="43" fontId="17" fillId="0" borderId="83" xfId="1" applyFont="1" applyBorder="1" applyAlignment="1">
      <alignment horizontal="center"/>
    </xf>
    <xf numFmtId="43" fontId="17" fillId="0" borderId="85" xfId="1" applyFont="1" applyBorder="1" applyAlignment="1">
      <alignment horizontal="center"/>
    </xf>
    <xf numFmtId="0" fontId="6" fillId="0" borderId="9" xfId="0" applyFont="1" applyBorder="1" applyAlignment="1">
      <alignment horizontal="center" vertical="center"/>
    </xf>
    <xf numFmtId="0" fontId="6"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6" fillId="0" borderId="8" xfId="0" applyFont="1" applyBorder="1" applyAlignment="1">
      <alignment horizontal="center" vertical="center"/>
    </xf>
    <xf numFmtId="0" fontId="6"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17" fillId="0" borderId="83" xfId="1" applyFont="1" applyBorder="1" applyAlignment="1" applyProtection="1">
      <alignment horizontal="center"/>
    </xf>
    <xf numFmtId="43" fontId="17" fillId="0" borderId="85" xfId="1" applyFont="1" applyBorder="1" applyAlignment="1" applyProtection="1">
      <alignment horizontal="center"/>
    </xf>
    <xf numFmtId="43" fontId="3" fillId="2" borderId="29" xfId="1" applyFill="1" applyBorder="1" applyAlignment="1" applyProtection="1">
      <alignment horizontal="right"/>
      <protection locked="0"/>
    </xf>
    <xf numFmtId="43" fontId="3"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3" fillId="0" borderId="12" xfId="1" applyBorder="1" applyAlignment="1" applyProtection="1">
      <alignment horizontal="right"/>
    </xf>
    <xf numFmtId="43" fontId="3" fillId="0" borderId="52" xfId="1" applyBorder="1" applyAlignment="1" applyProtection="1">
      <alignment horizontal="right"/>
    </xf>
    <xf numFmtId="43" fontId="17" fillId="0" borderId="29" xfId="1" applyFont="1" applyBorder="1" applyAlignment="1" applyProtection="1">
      <alignment horizontal="center"/>
    </xf>
    <xf numFmtId="43" fontId="17" fillId="0" borderId="20" xfId="1" applyFont="1" applyBorder="1" applyAlignment="1" applyProtection="1">
      <alignment horizontal="center"/>
    </xf>
    <xf numFmtId="0" fontId="6" fillId="2" borderId="8" xfId="0" applyFont="1" applyFill="1" applyBorder="1" applyAlignment="1" applyProtection="1">
      <alignment horizontal="center" vertical="center"/>
      <protection locked="0"/>
    </xf>
    <xf numFmtId="0" fontId="6" fillId="2" borderId="52" xfId="0" applyFont="1" applyFill="1" applyBorder="1" applyAlignment="1" applyProtection="1">
      <alignment horizontal="center" vertical="center"/>
      <protection locked="0"/>
    </xf>
    <xf numFmtId="0" fontId="6"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7" fillId="0" borderId="53" xfId="1" applyFont="1" applyBorder="1" applyAlignment="1" applyProtection="1">
      <alignment horizontal="center"/>
    </xf>
    <xf numFmtId="43" fontId="17" fillId="0" borderId="38" xfId="1" applyFont="1" applyBorder="1" applyAlignment="1" applyProtection="1">
      <alignment horizontal="center"/>
    </xf>
    <xf numFmtId="14" fontId="0" fillId="2" borderId="28" xfId="0" applyNumberFormat="1" applyFill="1" applyBorder="1" applyAlignment="1" applyProtection="1">
      <alignment horizontal="center"/>
      <protection locked="0"/>
    </xf>
    <xf numFmtId="0" fontId="0" fillId="2" borderId="3" xfId="0" applyFill="1" applyBorder="1" applyAlignment="1" applyProtection="1">
      <protection locked="0"/>
    </xf>
    <xf numFmtId="0" fontId="0" fillId="2" borderId="20" xfId="0" applyFill="1" applyBorder="1" applyAlignment="1" applyProtection="1">
      <protection locked="0"/>
    </xf>
    <xf numFmtId="43" fontId="3" fillId="0" borderId="8" xfId="1" applyFont="1" applyFill="1" applyBorder="1" applyAlignment="1" applyProtection="1">
      <alignment horizontal="right"/>
    </xf>
    <xf numFmtId="43" fontId="3" fillId="0" borderId="67" xfId="1" applyFill="1" applyBorder="1" applyAlignment="1" applyProtection="1">
      <alignment horizontal="right"/>
    </xf>
    <xf numFmtId="43" fontId="3" fillId="0" borderId="30" xfId="1" applyBorder="1" applyAlignment="1" applyProtection="1">
      <alignment horizontal="right"/>
    </xf>
    <xf numFmtId="43" fontId="3" fillId="0" borderId="31" xfId="1" applyBorder="1" applyAlignment="1" applyProtection="1">
      <alignment horizontal="right"/>
    </xf>
    <xf numFmtId="43" fontId="3" fillId="2" borderId="28" xfId="1" applyFill="1" applyBorder="1" applyAlignment="1" applyProtection="1">
      <alignment horizontal="right"/>
      <protection locked="0"/>
    </xf>
    <xf numFmtId="43" fontId="3" fillId="2" borderId="19" xfId="1" applyFill="1" applyBorder="1" applyAlignment="1" applyProtection="1">
      <alignment horizontal="right"/>
      <protection locked="0"/>
    </xf>
    <xf numFmtId="43" fontId="3" fillId="0" borderId="29" xfId="1" applyBorder="1" applyAlignment="1" applyProtection="1">
      <alignment horizontal="right"/>
    </xf>
    <xf numFmtId="43" fontId="3" fillId="0" borderId="20" xfId="1" applyBorder="1" applyAlignment="1" applyProtection="1">
      <alignment horizontal="right"/>
    </xf>
    <xf numFmtId="0" fontId="11" fillId="0" borderId="8" xfId="0" applyFont="1" applyBorder="1" applyAlignment="1">
      <alignment horizontal="center"/>
    </xf>
    <xf numFmtId="43" fontId="3" fillId="0" borderId="12" xfId="1" applyBorder="1" applyAlignment="1">
      <alignment horizontal="right"/>
    </xf>
    <xf numFmtId="43" fontId="3" fillId="0" borderId="52" xfId="1" applyBorder="1" applyAlignment="1">
      <alignment horizontal="right"/>
    </xf>
    <xf numFmtId="43" fontId="3" fillId="0" borderId="23" xfId="1" applyBorder="1" applyAlignment="1">
      <alignment horizontal="right"/>
    </xf>
    <xf numFmtId="43" fontId="3" fillId="0" borderId="0" xfId="1" applyBorder="1" applyAlignment="1">
      <alignment horizontal="right"/>
    </xf>
    <xf numFmtId="43" fontId="3" fillId="2" borderId="26" xfId="1" applyFill="1" applyBorder="1" applyAlignment="1" applyProtection="1">
      <alignment horizontal="right"/>
      <protection locked="0"/>
    </xf>
    <xf numFmtId="43" fontId="3" fillId="0" borderId="30" xfId="1" applyBorder="1" applyAlignment="1">
      <alignment horizontal="right"/>
    </xf>
    <xf numFmtId="43" fontId="3" fillId="0" borderId="31" xfId="1" applyBorder="1" applyAlignment="1">
      <alignment horizontal="right"/>
    </xf>
    <xf numFmtId="0" fontId="10"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3" fillId="0" borderId="15" xfId="0" applyFont="1" applyBorder="1" applyAlignment="1">
      <alignment horizontal="center" vertical="center" wrapText="1"/>
    </xf>
    <xf numFmtId="0" fontId="23" fillId="0" borderId="2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1" xfId="0" applyFont="1" applyBorder="1" applyAlignment="1">
      <alignment horizontal="center" vertical="center" wrapText="1"/>
    </xf>
    <xf numFmtId="49" fontId="3" fillId="2" borderId="18" xfId="0" applyNumberFormat="1" applyFont="1" applyFill="1" applyBorder="1" applyAlignment="1" applyProtection="1">
      <alignment horizontal="left"/>
      <protection locked="0"/>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49" fontId="3" fillId="2" borderId="3" xfId="0" applyNumberFormat="1" applyFont="1" applyFill="1" applyBorder="1" applyAlignment="1" applyProtection="1">
      <alignment horizontal="left"/>
      <protection locked="0"/>
    </xf>
    <xf numFmtId="0" fontId="23" fillId="0" borderId="15"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3" fillId="0" borderId="66" xfId="0" applyFont="1" applyBorder="1" applyAlignment="1">
      <alignment horizontal="center" vertical="center" wrapText="1"/>
    </xf>
    <xf numFmtId="0" fontId="13"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7" fillId="0" borderId="6" xfId="1" applyFont="1" applyBorder="1" applyAlignment="1">
      <alignment horizontal="center"/>
    </xf>
    <xf numFmtId="43" fontId="17" fillId="0" borderId="27" xfId="1" applyFont="1" applyBorder="1" applyAlignment="1">
      <alignment horizontal="center"/>
    </xf>
    <xf numFmtId="1" fontId="6"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0" fillId="0" borderId="0" xfId="0" applyFont="1" applyAlignment="1">
      <alignment horizontal="center"/>
    </xf>
    <xf numFmtId="0" fontId="31" fillId="0" borderId="0" xfId="0" applyFont="1" applyAlignment="1">
      <alignment horizontal="center"/>
    </xf>
    <xf numFmtId="0" fontId="34" fillId="0" borderId="0" xfId="0" applyFont="1" applyAlignment="1">
      <alignment horizontal="center"/>
    </xf>
    <xf numFmtId="0" fontId="7" fillId="0" borderId="0" xfId="19" applyFont="1" applyFill="1" applyAlignment="1" applyProtection="1">
      <alignment horizontal="center"/>
    </xf>
    <xf numFmtId="0" fontId="5" fillId="0" borderId="0" xfId="19" applyFont="1" applyFill="1" applyAlignment="1" applyProtection="1">
      <alignment horizontal="center"/>
    </xf>
    <xf numFmtId="14" fontId="6" fillId="0" borderId="0" xfId="19" applyNumberFormat="1" applyFont="1" applyFill="1" applyAlignment="1" applyProtection="1">
      <alignment horizontal="center"/>
    </xf>
    <xf numFmtId="0" fontId="6" fillId="0" borderId="0" xfId="19" applyFont="1" applyFill="1" applyAlignment="1" applyProtection="1">
      <alignment horizontal="center"/>
    </xf>
    <xf numFmtId="0" fontId="3" fillId="0" borderId="1" xfId="19" applyFill="1" applyBorder="1" applyAlignment="1" applyProtection="1">
      <alignment horizontal="center" vertical="center"/>
    </xf>
    <xf numFmtId="0" fontId="3" fillId="0" borderId="49" xfId="19" applyFill="1" applyBorder="1" applyAlignment="1" applyProtection="1">
      <alignment horizontal="center" vertical="center"/>
    </xf>
    <xf numFmtId="0" fontId="3" fillId="0" borderId="0" xfId="19" applyFill="1" applyAlignment="1">
      <alignment horizontal="center"/>
    </xf>
    <xf numFmtId="0" fontId="23" fillId="0" borderId="0" xfId="19" applyFont="1" applyFill="1" applyAlignment="1">
      <alignment horizontal="center"/>
    </xf>
    <xf numFmtId="0" fontId="24" fillId="0" borderId="0" xfId="19" applyFont="1" applyFill="1" applyAlignment="1" applyProtection="1">
      <alignment horizontal="center"/>
    </xf>
    <xf numFmtId="0" fontId="16" fillId="0" borderId="0" xfId="19" applyFont="1" applyFill="1" applyAlignment="1" applyProtection="1">
      <alignment horizontal="center"/>
    </xf>
    <xf numFmtId="0" fontId="35" fillId="0" borderId="8" xfId="19" applyFont="1" applyFill="1" applyBorder="1" applyAlignment="1" applyProtection="1">
      <alignment horizontal="center" vertical="top"/>
    </xf>
    <xf numFmtId="0" fontId="7" fillId="0" borderId="0" xfId="19" applyFont="1" applyFill="1" applyAlignment="1">
      <alignment horizontal="center"/>
    </xf>
    <xf numFmtId="0" fontId="5" fillId="0" borderId="0" xfId="19" applyFont="1" applyFill="1" applyAlignment="1">
      <alignment horizontal="center"/>
    </xf>
    <xf numFmtId="14" fontId="6" fillId="0" borderId="0" xfId="19" applyNumberFormat="1" applyFont="1" applyFill="1" applyAlignment="1">
      <alignment horizontal="center"/>
    </xf>
    <xf numFmtId="0" fontId="6" fillId="0" borderId="0" xfId="19" applyFont="1" applyFill="1" applyAlignment="1">
      <alignment horizontal="center"/>
    </xf>
    <xf numFmtId="0" fontId="24" fillId="0" borderId="0" xfId="19" applyFont="1" applyFill="1" applyAlignment="1">
      <alignment horizontal="center"/>
    </xf>
    <xf numFmtId="0" fontId="16" fillId="0" borderId="0" xfId="19" applyFont="1" applyFill="1" applyAlignment="1">
      <alignment horizontal="center"/>
    </xf>
    <xf numFmtId="0" fontId="35" fillId="0" borderId="8" xfId="19" applyFont="1" applyFill="1" applyBorder="1" applyAlignment="1">
      <alignment horizontal="center" vertical="top"/>
    </xf>
    <xf numFmtId="0" fontId="3" fillId="0" borderId="1" xfId="19" applyFill="1" applyBorder="1" applyAlignment="1">
      <alignment horizontal="center" vertical="center"/>
    </xf>
    <xf numFmtId="0" fontId="3" fillId="0" borderId="49" xfId="19" applyFill="1" applyBorder="1" applyAlignment="1">
      <alignment horizontal="center" vertical="center"/>
    </xf>
    <xf numFmtId="0" fontId="3" fillId="0" borderId="5" xfId="19" applyFill="1" applyBorder="1" applyAlignment="1">
      <alignment horizontal="center"/>
    </xf>
    <xf numFmtId="0" fontId="3" fillId="0" borderId="0" xfId="19" applyFill="1" applyBorder="1" applyAlignment="1">
      <alignment horizontal="center"/>
    </xf>
    <xf numFmtId="0" fontId="23" fillId="0" borderId="0" xfId="19" applyFont="1" applyAlignment="1" applyProtection="1">
      <alignment horizontal="center"/>
    </xf>
    <xf numFmtId="0" fontId="36" fillId="0" borderId="0" xfId="19" applyFont="1" applyAlignment="1" applyProtection="1">
      <alignment horizontal="center"/>
    </xf>
    <xf numFmtId="0" fontId="5" fillId="0" borderId="0" xfId="19" applyFont="1" applyAlignment="1" applyProtection="1">
      <alignment horizontal="center"/>
    </xf>
    <xf numFmtId="0" fontId="6" fillId="0" borderId="0" xfId="19" applyFont="1" applyAlignment="1" applyProtection="1">
      <alignment horizontal="center"/>
    </xf>
    <xf numFmtId="14" fontId="6" fillId="0" borderId="0" xfId="19" applyNumberFormat="1" applyFont="1" applyAlignment="1" applyProtection="1">
      <alignment horizontal="center"/>
    </xf>
    <xf numFmtId="0" fontId="3" fillId="0" borderId="1" xfId="19" applyBorder="1" applyAlignment="1" applyProtection="1">
      <alignment horizontal="center" vertical="center"/>
    </xf>
    <xf numFmtId="0" fontId="3" fillId="0" borderId="49" xfId="19" applyBorder="1" applyAlignment="1" applyProtection="1">
      <alignment horizontal="center" vertical="center"/>
    </xf>
    <xf numFmtId="0" fontId="3" fillId="0" borderId="0" xfId="19" applyAlignment="1" applyProtection="1">
      <alignment horizontal="center"/>
    </xf>
    <xf numFmtId="0" fontId="12" fillId="0" borderId="0" xfId="19" applyFont="1" applyFill="1" applyAlignment="1" applyProtection="1">
      <alignment horizontal="center"/>
    </xf>
    <xf numFmtId="0" fontId="6" fillId="0" borderId="64" xfId="19" applyFont="1" applyBorder="1" applyAlignment="1" applyProtection="1">
      <alignment horizontal="center" vertical="top"/>
    </xf>
    <xf numFmtId="0" fontId="6" fillId="0" borderId="26" xfId="19" applyFont="1" applyBorder="1" applyAlignment="1" applyProtection="1">
      <alignment horizontal="center" vertical="top"/>
    </xf>
    <xf numFmtId="0" fontId="6" fillId="0" borderId="41" xfId="19" applyFont="1" applyBorder="1" applyAlignment="1" applyProtection="1">
      <alignment horizontal="center" vertical="top"/>
    </xf>
    <xf numFmtId="0" fontId="23" fillId="0" borderId="0" xfId="19" applyFont="1" applyAlignment="1">
      <alignment horizontal="center" vertical="center" textRotation="180" wrapText="1"/>
    </xf>
    <xf numFmtId="0" fontId="3" fillId="0" borderId="9" xfId="19" applyFill="1" applyBorder="1" applyAlignment="1">
      <alignment horizontal="center" vertical="center"/>
    </xf>
    <xf numFmtId="0" fontId="3" fillId="0" borderId="51" xfId="19" applyFill="1" applyBorder="1" applyAlignment="1">
      <alignment horizontal="center" vertical="center"/>
    </xf>
    <xf numFmtId="0" fontId="3" fillId="0" borderId="8" xfId="19" applyFill="1" applyBorder="1" applyAlignment="1">
      <alignment horizontal="center" vertical="center"/>
    </xf>
    <xf numFmtId="0" fontId="3" fillId="0" borderId="52" xfId="19" applyFill="1" applyBorder="1" applyAlignment="1">
      <alignment horizontal="center" vertical="center"/>
    </xf>
    <xf numFmtId="0" fontId="24" fillId="0" borderId="8" xfId="19" applyFont="1" applyFill="1" applyBorder="1" applyAlignment="1">
      <alignment horizontal="center"/>
    </xf>
    <xf numFmtId="0" fontId="16" fillId="0" borderId="3" xfId="19" applyFont="1" applyFill="1" applyBorder="1" applyAlignment="1" applyProtection="1">
      <alignment wrapText="1"/>
    </xf>
    <xf numFmtId="0" fontId="3" fillId="0" borderId="20" xfId="19" applyFill="1" applyBorder="1" applyAlignment="1" applyProtection="1">
      <alignment wrapText="1"/>
    </xf>
    <xf numFmtId="0" fontId="3" fillId="0" borderId="5" xfId="19" applyFill="1" applyBorder="1" applyAlignment="1" applyProtection="1">
      <alignment vertical="center"/>
    </xf>
    <xf numFmtId="0" fontId="3" fillId="0" borderId="26" xfId="19" applyFill="1" applyBorder="1" applyAlignment="1" applyProtection="1">
      <alignment vertical="center"/>
    </xf>
    <xf numFmtId="0" fontId="3" fillId="0" borderId="0" xfId="19" applyFill="1" applyBorder="1" applyAlignment="1" applyProtection="1">
      <alignment vertical="center"/>
    </xf>
    <xf numFmtId="0" fontId="3" fillId="0" borderId="8" xfId="19" applyFill="1" applyBorder="1" applyAlignment="1" applyProtection="1">
      <alignment vertical="center"/>
    </xf>
    <xf numFmtId="0" fontId="3" fillId="0" borderId="3" xfId="19" applyFont="1" applyFill="1" applyBorder="1" applyAlignment="1" applyProtection="1">
      <alignment wrapText="1"/>
    </xf>
    <xf numFmtId="0" fontId="11" fillId="0" borderId="0" xfId="19" applyFont="1" applyFill="1" applyAlignment="1" applyProtection="1">
      <alignment horizontal="center"/>
    </xf>
    <xf numFmtId="0" fontId="11" fillId="0" borderId="0" xfId="19" applyFont="1" applyFill="1" applyAlignment="1" applyProtection="1">
      <alignment horizontal="center"/>
      <protection locked="0"/>
    </xf>
    <xf numFmtId="43" fontId="3" fillId="2" borderId="6" xfId="1" applyFill="1" applyBorder="1" applyAlignment="1" applyProtection="1">
      <alignment horizontal="center"/>
      <protection locked="0"/>
    </xf>
    <xf numFmtId="43" fontId="3" fillId="2" borderId="27" xfId="1" applyFill="1" applyBorder="1" applyAlignment="1" applyProtection="1">
      <alignment horizontal="center"/>
      <protection locked="0"/>
    </xf>
    <xf numFmtId="0" fontId="17" fillId="0" borderId="53" xfId="19" applyFont="1" applyFill="1" applyBorder="1" applyAlignment="1" applyProtection="1">
      <alignment horizontal="center"/>
    </xf>
    <xf numFmtId="0" fontId="17" fillId="0" borderId="64" xfId="19" applyFont="1" applyFill="1" applyBorder="1" applyAlignment="1" applyProtection="1">
      <alignment horizontal="center"/>
    </xf>
    <xf numFmtId="0" fontId="58" fillId="0" borderId="0" xfId="19" applyFont="1" applyFill="1" applyAlignment="1" applyProtection="1">
      <alignment horizontal="center"/>
    </xf>
    <xf numFmtId="0" fontId="23" fillId="0" borderId="0" xfId="19" applyFont="1" applyAlignment="1">
      <alignment horizontal="center"/>
    </xf>
    <xf numFmtId="49" fontId="23" fillId="0" borderId="0" xfId="19" applyNumberFormat="1" applyFont="1" applyAlignment="1">
      <alignment horizontal="center"/>
    </xf>
    <xf numFmtId="49" fontId="6" fillId="0" borderId="0" xfId="19" applyNumberFormat="1" applyFont="1" applyAlignment="1">
      <alignment horizontal="center"/>
    </xf>
    <xf numFmtId="0" fontId="22" fillId="0" borderId="0" xfId="19" applyFont="1" applyAlignment="1">
      <alignment horizontal="center"/>
    </xf>
    <xf numFmtId="0" fontId="12" fillId="0" borderId="0" xfId="19" applyFont="1" applyAlignment="1">
      <alignment horizontal="center"/>
    </xf>
    <xf numFmtId="0" fontId="22" fillId="0" borderId="0" xfId="19" applyFont="1" applyAlignment="1">
      <alignment horizontal="center" vertical="center"/>
    </xf>
    <xf numFmtId="49" fontId="24" fillId="0" borderId="0" xfId="19" applyNumberFormat="1" applyFont="1" applyAlignment="1">
      <alignment horizontal="center"/>
    </xf>
    <xf numFmtId="0" fontId="17" fillId="0" borderId="0" xfId="19" applyFont="1" applyAlignment="1">
      <alignment horizontal="center"/>
    </xf>
    <xf numFmtId="43" fontId="3" fillId="0" borderId="30" xfId="1" applyFill="1" applyBorder="1" applyAlignment="1" applyProtection="1">
      <alignment horizontal="right"/>
    </xf>
    <xf numFmtId="43" fontId="3" fillId="0" borderId="31" xfId="1" applyFill="1" applyBorder="1" applyAlignment="1" applyProtection="1">
      <alignment horizontal="right"/>
    </xf>
    <xf numFmtId="0" fontId="6" fillId="0" borderId="8" xfId="19" applyFont="1" applyFill="1" applyBorder="1" applyAlignment="1" applyProtection="1">
      <alignment horizontal="center" vertical="center"/>
      <protection locked="0"/>
    </xf>
    <xf numFmtId="0" fontId="6" fillId="0" borderId="52" xfId="19" applyFont="1" applyFill="1" applyBorder="1" applyAlignment="1" applyProtection="1">
      <alignment horizontal="center" vertical="center"/>
      <protection locked="0"/>
    </xf>
    <xf numFmtId="43" fontId="3" fillId="0" borderId="3" xfId="19" applyNumberFormat="1" applyFill="1" applyBorder="1" applyAlignment="1" applyProtection="1">
      <alignment horizontal="center"/>
    </xf>
    <xf numFmtId="0" fontId="3" fillId="0" borderId="3" xfId="19" applyFill="1" applyBorder="1" applyAlignment="1" applyProtection="1">
      <alignment horizontal="center"/>
    </xf>
    <xf numFmtId="0" fontId="3" fillId="2" borderId="29" xfId="19" applyFill="1" applyBorder="1" applyAlignment="1" applyProtection="1">
      <alignment horizontal="center"/>
      <protection locked="0"/>
    </xf>
    <xf numFmtId="0" fontId="3" fillId="2" borderId="20" xfId="19" applyFill="1" applyBorder="1" applyAlignment="1" applyProtection="1">
      <alignment horizontal="center"/>
      <protection locked="0"/>
    </xf>
    <xf numFmtId="14" fontId="3" fillId="2" borderId="28" xfId="19" applyNumberFormat="1" applyFill="1" applyBorder="1" applyAlignment="1" applyProtection="1">
      <alignment horizontal="center"/>
      <protection locked="0"/>
    </xf>
    <xf numFmtId="0" fontId="3" fillId="2" borderId="19" xfId="19" applyFill="1" applyBorder="1" applyAlignment="1" applyProtection="1">
      <alignment horizontal="center"/>
      <protection locked="0"/>
    </xf>
    <xf numFmtId="43" fontId="17" fillId="0" borderId="29" xfId="1" applyFont="1" applyFill="1" applyBorder="1" applyAlignment="1" applyProtection="1">
      <alignment horizontal="center"/>
    </xf>
    <xf numFmtId="43" fontId="17" fillId="0" borderId="20" xfId="1" applyFont="1" applyFill="1" applyBorder="1" applyAlignment="1" applyProtection="1">
      <alignment horizontal="center"/>
    </xf>
    <xf numFmtId="43" fontId="17" fillId="0" borderId="83" xfId="1" applyFont="1" applyFill="1" applyBorder="1" applyAlignment="1" applyProtection="1">
      <alignment horizontal="center"/>
    </xf>
    <xf numFmtId="43" fontId="17" fillId="0" borderId="85" xfId="1" applyFont="1" applyFill="1" applyBorder="1" applyAlignment="1" applyProtection="1">
      <alignment horizontal="center"/>
    </xf>
    <xf numFmtId="0" fontId="3" fillId="0" borderId="1" xfId="19" applyFont="1" applyFill="1" applyBorder="1" applyAlignment="1">
      <alignment horizontal="center" vertical="center" wrapText="1"/>
    </xf>
    <xf numFmtId="0" fontId="3" fillId="0" borderId="1" xfId="19" applyFill="1" applyBorder="1" applyAlignment="1">
      <alignment horizontal="center" vertical="center" wrapText="1"/>
    </xf>
    <xf numFmtId="0" fontId="3" fillId="0" borderId="37" xfId="19" applyFill="1" applyBorder="1" applyAlignment="1">
      <alignment horizontal="center" vertical="center"/>
    </xf>
    <xf numFmtId="43" fontId="3" fillId="0" borderId="12" xfId="1" applyFill="1" applyBorder="1" applyAlignment="1" applyProtection="1">
      <alignment horizontal="right"/>
    </xf>
    <xf numFmtId="43" fontId="3" fillId="0" borderId="52" xfId="1" applyFill="1" applyBorder="1" applyAlignment="1" applyProtection="1">
      <alignment horizontal="right"/>
    </xf>
    <xf numFmtId="43" fontId="3" fillId="0" borderId="29" xfId="1" applyFill="1" applyBorder="1" applyAlignment="1" applyProtection="1">
      <alignment horizontal="right"/>
    </xf>
    <xf numFmtId="43" fontId="3" fillId="0" borderId="20" xfId="1" applyFill="1" applyBorder="1" applyAlignment="1" applyProtection="1">
      <alignment horizontal="right"/>
    </xf>
    <xf numFmtId="0" fontId="3" fillId="0" borderId="37" xfId="19" applyFill="1" applyBorder="1" applyAlignment="1">
      <alignment horizontal="center" vertical="center" wrapText="1"/>
    </xf>
    <xf numFmtId="0" fontId="3" fillId="0" borderId="49" xfId="19" applyFill="1" applyBorder="1" applyAlignment="1">
      <alignment horizontal="center" vertical="center" wrapText="1"/>
    </xf>
    <xf numFmtId="0" fontId="6" fillId="0" borderId="9" xfId="19" applyFont="1" applyFill="1" applyBorder="1" applyAlignment="1">
      <alignment horizontal="center" vertical="center"/>
    </xf>
    <xf numFmtId="0" fontId="6" fillId="0" borderId="51" xfId="19" applyFont="1" applyFill="1" applyBorder="1" applyAlignment="1">
      <alignment horizontal="center" vertical="center"/>
    </xf>
    <xf numFmtId="0" fontId="6" fillId="0" borderId="8" xfId="19" applyFont="1" applyFill="1" applyBorder="1" applyAlignment="1">
      <alignment horizontal="center"/>
    </xf>
    <xf numFmtId="43" fontId="3" fillId="0" borderId="3" xfId="19" applyNumberFormat="1" applyBorder="1" applyAlignment="1">
      <alignment horizontal="center"/>
    </xf>
    <xf numFmtId="0" fontId="3" fillId="0" borderId="3" xfId="19" applyBorder="1" applyAlignment="1">
      <alignment horizontal="center"/>
    </xf>
    <xf numFmtId="0" fontId="3" fillId="2" borderId="28" xfId="19" applyFill="1" applyBorder="1" applyAlignment="1" applyProtection="1">
      <alignment horizontal="center"/>
      <protection locked="0"/>
    </xf>
    <xf numFmtId="0" fontId="12" fillId="0" borderId="0" xfId="19" applyFont="1" applyFill="1" applyAlignment="1">
      <alignment horizontal="center"/>
    </xf>
    <xf numFmtId="0" fontId="6" fillId="0" borderId="0" xfId="19" applyFont="1" applyFill="1" applyAlignment="1" applyProtection="1">
      <alignment horizontal="center"/>
      <protection locked="0"/>
    </xf>
    <xf numFmtId="0" fontId="3" fillId="0" borderId="37" xfId="19" applyBorder="1" applyAlignment="1">
      <alignment horizontal="center" vertical="center"/>
    </xf>
    <xf numFmtId="0" fontId="3" fillId="0" borderId="49" xfId="19" applyBorder="1" applyAlignment="1">
      <alignment horizontal="center" vertical="center"/>
    </xf>
    <xf numFmtId="0" fontId="3" fillId="0" borderId="1" xfId="19" applyBorder="1" applyAlignment="1">
      <alignment horizontal="center" vertical="center"/>
    </xf>
    <xf numFmtId="43" fontId="3" fillId="0" borderId="29" xfId="1" applyBorder="1" applyAlignment="1">
      <alignment horizontal="right"/>
    </xf>
    <xf numFmtId="43" fontId="3" fillId="0" borderId="20" xfId="1" applyBorder="1" applyAlignment="1">
      <alignment horizontal="right"/>
    </xf>
    <xf numFmtId="0" fontId="3" fillId="0" borderId="37" xfId="19" applyBorder="1" applyAlignment="1">
      <alignment horizontal="center" vertical="center" wrapText="1"/>
    </xf>
    <xf numFmtId="0" fontId="3" fillId="0" borderId="49" xfId="19" applyBorder="1" applyAlignment="1">
      <alignment horizontal="center" vertical="center" wrapText="1"/>
    </xf>
    <xf numFmtId="0" fontId="6" fillId="0" borderId="9" xfId="19" applyFont="1" applyBorder="1" applyAlignment="1">
      <alignment horizontal="center" vertical="center"/>
    </xf>
    <xf numFmtId="0" fontId="6" fillId="0" borderId="51" xfId="19" applyFont="1" applyBorder="1" applyAlignment="1">
      <alignment horizontal="center" vertical="center"/>
    </xf>
    <xf numFmtId="0" fontId="17" fillId="0" borderId="89" xfId="19" applyFont="1" applyFill="1" applyBorder="1" applyAlignment="1" applyProtection="1">
      <alignment horizontal="center"/>
    </xf>
    <xf numFmtId="0" fontId="17" fillId="0" borderId="90" xfId="19" applyFont="1" applyFill="1" applyBorder="1" applyAlignment="1" applyProtection="1">
      <alignment horizontal="center"/>
    </xf>
    <xf numFmtId="0" fontId="17" fillId="0" borderId="91" xfId="19" applyFont="1" applyFill="1" applyBorder="1" applyAlignment="1" applyProtection="1">
      <alignment horizontal="center"/>
    </xf>
    <xf numFmtId="0" fontId="23" fillId="0" borderId="0" xfId="19" applyFont="1" applyFill="1" applyAlignment="1">
      <alignment horizontal="center" vertical="center" textRotation="180" wrapText="1"/>
    </xf>
    <xf numFmtId="0" fontId="3" fillId="0" borderId="0" xfId="19" applyFill="1" applyAlignment="1" applyProtection="1">
      <alignment horizontal="center"/>
    </xf>
    <xf numFmtId="0" fontId="3" fillId="0" borderId="21" xfId="19" applyFill="1" applyBorder="1" applyAlignment="1" applyProtection="1">
      <alignment horizontal="center"/>
    </xf>
    <xf numFmtId="0" fontId="6" fillId="0" borderId="15" xfId="19" applyFont="1" applyFill="1" applyBorder="1" applyAlignment="1" applyProtection="1">
      <alignment horizontal="center" vertical="center" wrapText="1"/>
    </xf>
    <xf numFmtId="0" fontId="6" fillId="0" borderId="21" xfId="19" applyFont="1" applyFill="1" applyBorder="1" applyAlignment="1" applyProtection="1">
      <alignment horizontal="center" vertical="center" wrapText="1"/>
    </xf>
    <xf numFmtId="0" fontId="3" fillId="0" borderId="64" xfId="19" applyFill="1" applyBorder="1" applyAlignment="1" applyProtection="1">
      <alignment horizontal="center" vertical="center" wrapText="1"/>
    </xf>
    <xf numFmtId="0" fontId="3" fillId="0" borderId="41" xfId="19" applyFill="1" applyBorder="1" applyAlignment="1" applyProtection="1">
      <alignment horizontal="center" vertical="center" wrapText="1"/>
    </xf>
    <xf numFmtId="0" fontId="12" fillId="0" borderId="0" xfId="19" applyFont="1" applyAlignment="1" applyProtection="1">
      <alignment horizontal="center"/>
    </xf>
    <xf numFmtId="0" fontId="3" fillId="0" borderId="21" xfId="19" applyBorder="1" applyAlignment="1" applyProtection="1">
      <alignment horizontal="center"/>
    </xf>
    <xf numFmtId="0" fontId="3" fillId="0" borderId="9" xfId="19" applyFill="1" applyBorder="1" applyAlignment="1" applyProtection="1">
      <alignment horizontal="center"/>
    </xf>
    <xf numFmtId="0" fontId="3" fillId="0" borderId="51" xfId="19" applyFill="1" applyBorder="1" applyAlignment="1" applyProtection="1">
      <alignment horizontal="center"/>
    </xf>
    <xf numFmtId="49" fontId="3" fillId="2" borderId="18" xfId="19" applyNumberFormat="1" applyFill="1" applyBorder="1" applyAlignment="1" applyProtection="1">
      <alignment horizontal="left"/>
      <protection locked="0"/>
    </xf>
    <xf numFmtId="49" fontId="3" fillId="2" borderId="19" xfId="19" applyNumberForma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49" fontId="3" fillId="2" borderId="20" xfId="19" applyNumberFormat="1" applyFill="1" applyBorder="1" applyAlignment="1" applyProtection="1">
      <alignment horizontal="left"/>
      <protection locked="0"/>
    </xf>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6" fillId="0" borderId="64" xfId="19" applyFont="1" applyFill="1" applyBorder="1" applyAlignment="1" applyProtection="1">
      <alignment horizontal="center" vertical="center" wrapText="1"/>
    </xf>
    <xf numFmtId="0" fontId="6" fillId="0" borderId="26" xfId="19" applyFont="1" applyFill="1" applyBorder="1" applyAlignment="1" applyProtection="1">
      <alignment horizontal="center" vertical="center" wrapText="1"/>
    </xf>
    <xf numFmtId="49" fontId="3" fillId="2" borderId="18" xfId="19" applyNumberFormat="1" applyFill="1" applyBorder="1" applyAlignment="1" applyProtection="1">
      <alignment horizontal="center"/>
      <protection locked="0"/>
    </xf>
    <xf numFmtId="49" fontId="3" fillId="2" borderId="19" xfId="19" applyNumberFormat="1" applyFill="1" applyBorder="1" applyAlignment="1" applyProtection="1">
      <alignment horizontal="center"/>
      <protection locked="0"/>
    </xf>
    <xf numFmtId="0" fontId="3" fillId="0" borderId="46" xfId="19" applyFill="1" applyBorder="1" applyAlignment="1" applyProtection="1">
      <alignment horizontal="center" vertical="center"/>
    </xf>
    <xf numFmtId="0" fontId="3" fillId="0" borderId="51" xfId="19" applyFill="1" applyBorder="1" applyAlignment="1" applyProtection="1">
      <alignment horizontal="center" vertical="center"/>
    </xf>
    <xf numFmtId="0" fontId="3" fillId="0" borderId="15" xfId="19" applyFill="1" applyBorder="1" applyAlignment="1" applyProtection="1">
      <alignment horizontal="center" vertical="center"/>
    </xf>
    <xf numFmtId="0" fontId="3" fillId="0" borderId="21" xfId="19" applyFill="1" applyBorder="1" applyAlignment="1" applyProtection="1">
      <alignment horizontal="center" vertical="center"/>
    </xf>
    <xf numFmtId="0" fontId="3" fillId="0" borderId="64" xfId="19" applyFill="1" applyBorder="1" applyAlignment="1" applyProtection="1">
      <alignment horizontal="center" vertical="center"/>
    </xf>
    <xf numFmtId="0" fontId="3" fillId="0" borderId="41" xfId="19" applyFill="1" applyBorder="1" applyAlignment="1" applyProtection="1">
      <alignment horizontal="center" vertical="center"/>
    </xf>
    <xf numFmtId="0" fontId="3" fillId="0" borderId="46" xfId="19" applyBorder="1" applyAlignment="1" applyProtection="1">
      <alignment horizontal="center" vertical="center"/>
    </xf>
    <xf numFmtId="0" fontId="3" fillId="0" borderId="65" xfId="19" applyBorder="1" applyAlignment="1" applyProtection="1">
      <alignment horizontal="center" vertical="center"/>
    </xf>
    <xf numFmtId="0" fontId="3" fillId="0" borderId="15" xfId="19" applyBorder="1" applyAlignment="1" applyProtection="1">
      <alignment horizontal="center" vertical="center"/>
    </xf>
    <xf numFmtId="0" fontId="3" fillId="0" borderId="66" xfId="19" applyBorder="1" applyAlignment="1" applyProtection="1">
      <alignment horizontal="center" vertical="center"/>
    </xf>
    <xf numFmtId="0" fontId="3" fillId="0" borderId="64" xfId="19" applyBorder="1" applyAlignment="1" applyProtection="1">
      <alignment horizontal="center" vertical="center"/>
    </xf>
    <xf numFmtId="0" fontId="3" fillId="0" borderId="88" xfId="19" applyBorder="1" applyAlignment="1" applyProtection="1">
      <alignment horizontal="center" vertical="center"/>
    </xf>
    <xf numFmtId="0" fontId="3" fillId="3" borderId="46" xfId="19" applyFill="1" applyBorder="1" applyAlignment="1" applyProtection="1">
      <alignment horizontal="center" vertical="center"/>
    </xf>
    <xf numFmtId="0" fontId="3" fillId="3" borderId="51" xfId="19" applyFill="1" applyBorder="1" applyAlignment="1" applyProtection="1">
      <alignment horizontal="center" vertical="center"/>
    </xf>
    <xf numFmtId="0" fontId="3" fillId="3" borderId="15" xfId="19" applyFill="1" applyBorder="1" applyAlignment="1" applyProtection="1">
      <alignment horizontal="center" vertical="center"/>
    </xf>
    <xf numFmtId="0" fontId="3" fillId="3" borderId="21" xfId="19" applyFill="1" applyBorder="1" applyAlignment="1" applyProtection="1">
      <alignment horizontal="center" vertical="center"/>
    </xf>
    <xf numFmtId="0" fontId="3" fillId="3" borderId="64" xfId="19" applyFill="1" applyBorder="1" applyAlignment="1" applyProtection="1">
      <alignment horizontal="center" vertical="center"/>
    </xf>
    <xf numFmtId="0" fontId="3" fillId="3" borderId="41" xfId="19" applyFill="1" applyBorder="1" applyAlignment="1" applyProtection="1">
      <alignment horizontal="center" vertical="center"/>
    </xf>
    <xf numFmtId="0" fontId="5" fillId="0" borderId="0" xfId="19" applyFont="1" applyFill="1" applyAlignment="1" applyProtection="1">
      <alignment horizontal="center"/>
      <protection locked="0"/>
    </xf>
    <xf numFmtId="0" fontId="6" fillId="0" borderId="0" xfId="19" applyFont="1" applyAlignment="1">
      <alignment horizontal="center"/>
    </xf>
    <xf numFmtId="43" fontId="3" fillId="2" borderId="53" xfId="1" applyFill="1" applyBorder="1" applyAlignment="1" applyProtection="1">
      <alignment horizontal="center"/>
      <protection locked="0"/>
    </xf>
    <xf numFmtId="43" fontId="3" fillId="2" borderId="64" xfId="1" applyFill="1" applyBorder="1" applyAlignment="1" applyProtection="1">
      <alignment horizontal="center"/>
      <protection locked="0"/>
    </xf>
    <xf numFmtId="43" fontId="17" fillId="0" borderId="6" xfId="1" applyFont="1" applyBorder="1" applyAlignment="1" applyProtection="1">
      <alignment horizontal="center"/>
    </xf>
    <xf numFmtId="43" fontId="17" fillId="0" borderId="27" xfId="1" applyFont="1" applyBorder="1" applyAlignment="1" applyProtection="1">
      <alignment horizontal="center"/>
    </xf>
    <xf numFmtId="0" fontId="37" fillId="0" borderId="0" xfId="19" applyFont="1" applyFill="1" applyAlignment="1" applyProtection="1">
      <alignment horizontal="center"/>
      <protection locked="0"/>
    </xf>
    <xf numFmtId="0" fontId="11" fillId="0" borderId="0" xfId="19" applyFont="1" applyFill="1" applyAlignment="1">
      <alignment horizontal="center"/>
    </xf>
    <xf numFmtId="0" fontId="24" fillId="0" borderId="0" xfId="19" applyFont="1" applyFill="1" applyAlignment="1" applyProtection="1">
      <alignment horizontal="center"/>
      <protection locked="0"/>
    </xf>
    <xf numFmtId="0" fontId="7" fillId="0" borderId="0" xfId="19" applyFont="1" applyFill="1" applyAlignment="1" applyProtection="1">
      <alignment horizontal="center"/>
      <protection locked="0"/>
    </xf>
    <xf numFmtId="14" fontId="6" fillId="0" borderId="0" xfId="19" applyNumberFormat="1" applyFont="1" applyFill="1" applyAlignment="1" applyProtection="1">
      <alignment horizontal="center"/>
      <protection locked="0"/>
    </xf>
    <xf numFmtId="0" fontId="16" fillId="0" borderId="0" xfId="19" applyFont="1" applyFill="1" applyAlignment="1" applyProtection="1">
      <alignment horizontal="center"/>
      <protection locked="0"/>
    </xf>
    <xf numFmtId="0" fontId="35" fillId="0" borderId="8" xfId="19" applyFont="1" applyFill="1" applyBorder="1" applyAlignment="1" applyProtection="1">
      <alignment horizontal="center" vertical="top"/>
      <protection locked="0"/>
    </xf>
    <xf numFmtId="0" fontId="3" fillId="0" borderId="1" xfId="19" applyFill="1" applyBorder="1" applyAlignment="1" applyProtection="1">
      <alignment horizontal="center" vertical="center"/>
      <protection locked="0"/>
    </xf>
    <xf numFmtId="0" fontId="3" fillId="0" borderId="49" xfId="19" applyFill="1" applyBorder="1" applyAlignment="1" applyProtection="1">
      <alignment horizontal="center" vertical="center"/>
      <protection locked="0"/>
    </xf>
    <xf numFmtId="0" fontId="3" fillId="0" borderId="5" xfId="19" applyFill="1" applyBorder="1" applyAlignment="1" applyProtection="1">
      <alignment horizontal="center"/>
    </xf>
    <xf numFmtId="0" fontId="3" fillId="0" borderId="0" xfId="19" applyFill="1" applyBorder="1" applyAlignment="1" applyProtection="1">
      <alignment horizontal="center"/>
    </xf>
    <xf numFmtId="0" fontId="24" fillId="0" borderId="8" xfId="19" applyFont="1" applyFill="1" applyBorder="1" applyAlignment="1" applyProtection="1">
      <alignment horizontal="center"/>
    </xf>
    <xf numFmtId="0" fontId="3" fillId="0" borderId="9" xfId="19" applyFill="1" applyBorder="1" applyAlignment="1" applyProtection="1">
      <alignment horizontal="center" vertical="center"/>
    </xf>
    <xf numFmtId="0" fontId="3" fillId="0" borderId="8" xfId="19" applyFill="1" applyBorder="1" applyAlignment="1" applyProtection="1">
      <alignment horizontal="center" vertical="center"/>
    </xf>
    <xf numFmtId="0" fontId="3" fillId="0" borderId="52" xfId="19" applyFill="1" applyBorder="1" applyAlignment="1" applyProtection="1">
      <alignment horizontal="center" vertical="center"/>
    </xf>
    <xf numFmtId="43" fontId="17" fillId="0" borderId="53" xfId="19" applyNumberFormat="1" applyFont="1" applyFill="1" applyBorder="1" applyAlignment="1" applyProtection="1">
      <alignment horizontal="center"/>
    </xf>
    <xf numFmtId="43" fontId="17" fillId="0" borderId="64" xfId="19" applyNumberFormat="1" applyFont="1" applyFill="1" applyBorder="1" applyAlignment="1" applyProtection="1">
      <alignment horizontal="center"/>
    </xf>
    <xf numFmtId="43" fontId="3" fillId="2" borderId="6" xfId="1" applyNumberFormat="1" applyFill="1" applyBorder="1" applyAlignment="1" applyProtection="1">
      <alignment horizontal="center"/>
      <protection locked="0"/>
    </xf>
    <xf numFmtId="43" fontId="3" fillId="2" borderId="27" xfId="1" applyNumberFormat="1" applyFill="1" applyBorder="1" applyAlignment="1" applyProtection="1">
      <alignment horizontal="center"/>
      <protection locked="0"/>
    </xf>
    <xf numFmtId="49" fontId="6" fillId="0" borderId="0" xfId="19" applyNumberFormat="1" applyFont="1" applyAlignment="1" applyProtection="1">
      <alignment horizontal="center"/>
    </xf>
    <xf numFmtId="49" fontId="24" fillId="0" borderId="0" xfId="19" applyNumberFormat="1" applyFont="1" applyAlignment="1" applyProtection="1">
      <alignment horizontal="center"/>
    </xf>
    <xf numFmtId="0" fontId="17" fillId="0" borderId="0" xfId="19" applyFont="1" applyAlignment="1" applyProtection="1">
      <alignment horizontal="center"/>
    </xf>
    <xf numFmtId="0" fontId="22" fillId="0" borderId="0" xfId="19" applyFont="1" applyAlignment="1" applyProtection="1">
      <alignment horizontal="center"/>
    </xf>
    <xf numFmtId="0" fontId="22" fillId="0" borderId="0" xfId="19" applyFont="1" applyAlignment="1" applyProtection="1">
      <alignment horizontal="center" vertical="center"/>
    </xf>
    <xf numFmtId="0" fontId="3" fillId="0" borderId="37" xfId="19" applyFill="1" applyBorder="1" applyAlignment="1" applyProtection="1">
      <alignment horizontal="center" vertical="center"/>
    </xf>
    <xf numFmtId="0" fontId="3" fillId="0" borderId="1" xfId="19" applyFont="1" applyFill="1" applyBorder="1" applyAlignment="1" applyProtection="1">
      <alignment horizontal="center" vertical="center" wrapText="1"/>
    </xf>
    <xf numFmtId="0" fontId="3" fillId="0" borderId="1" xfId="19" applyFill="1" applyBorder="1" applyAlignment="1" applyProtection="1">
      <alignment horizontal="center" vertical="center" wrapText="1"/>
    </xf>
    <xf numFmtId="0" fontId="6" fillId="0" borderId="8" xfId="19" applyFont="1" applyFill="1" applyBorder="1" applyAlignment="1" applyProtection="1">
      <alignment horizontal="center" vertical="center"/>
    </xf>
    <xf numFmtId="0" fontId="6" fillId="0" borderId="52" xfId="19" applyFont="1" applyFill="1" applyBorder="1" applyAlignment="1" applyProtection="1">
      <alignment horizontal="center" vertical="center"/>
    </xf>
    <xf numFmtId="0" fontId="3" fillId="0" borderId="37" xfId="19" applyBorder="1" applyAlignment="1" applyProtection="1">
      <alignment horizontal="center" vertical="center"/>
    </xf>
    <xf numFmtId="0" fontId="6" fillId="0" borderId="8" xfId="19" applyFont="1" applyFill="1" applyBorder="1" applyAlignment="1" applyProtection="1">
      <alignment horizontal="center"/>
    </xf>
    <xf numFmtId="43" fontId="3" fillId="0" borderId="3" xfId="19" applyNumberFormat="1" applyBorder="1" applyAlignment="1" applyProtection="1">
      <alignment horizontal="center"/>
    </xf>
    <xf numFmtId="0" fontId="3" fillId="0" borderId="3" xfId="19" applyBorder="1" applyAlignment="1" applyProtection="1">
      <alignment horizontal="center"/>
    </xf>
    <xf numFmtId="0" fontId="3" fillId="0" borderId="37" xfId="19" applyBorder="1" applyAlignment="1" applyProtection="1">
      <alignment horizontal="center" vertical="center" wrapText="1"/>
    </xf>
    <xf numFmtId="0" fontId="3" fillId="0" borderId="49" xfId="19" applyBorder="1" applyAlignment="1" applyProtection="1">
      <alignment horizontal="center" vertical="center" wrapText="1"/>
    </xf>
    <xf numFmtId="0" fontId="3" fillId="0" borderId="9" xfId="19" applyBorder="1" applyAlignment="1" applyProtection="1">
      <alignment horizontal="center"/>
    </xf>
    <xf numFmtId="0" fontId="3" fillId="0" borderId="51" xfId="19" applyBorder="1" applyAlignment="1" applyProtection="1">
      <alignment horizontal="center"/>
    </xf>
    <xf numFmtId="0" fontId="6" fillId="0" borderId="15" xfId="19" applyFont="1" applyBorder="1" applyAlignment="1" applyProtection="1">
      <alignment horizontal="center" vertical="center" wrapText="1"/>
    </xf>
    <xf numFmtId="0" fontId="6" fillId="0" borderId="0" xfId="19" applyFont="1" applyAlignment="1" applyProtection="1">
      <alignment horizontal="center" vertical="center" wrapText="1"/>
    </xf>
    <xf numFmtId="0" fontId="6" fillId="0" borderId="64" xfId="19" applyFont="1" applyBorder="1" applyAlignment="1" applyProtection="1">
      <alignment horizontal="center" vertical="center" wrapText="1"/>
    </xf>
    <xf numFmtId="0" fontId="6" fillId="0" borderId="26" xfId="19" applyFont="1" applyBorder="1" applyAlignment="1" applyProtection="1">
      <alignment horizontal="center" vertical="center" wrapText="1"/>
    </xf>
    <xf numFmtId="0" fontId="37" fillId="0" borderId="0" xfId="19" applyFont="1" applyFill="1" applyAlignment="1" applyProtection="1">
      <alignment horizontal="center"/>
    </xf>
    <xf numFmtId="0" fontId="23" fillId="0" borderId="0" xfId="19" applyFont="1" applyFill="1" applyAlignment="1" applyProtection="1">
      <alignment horizontal="center"/>
    </xf>
    <xf numFmtId="0" fontId="6" fillId="0" borderId="9" xfId="19" applyFont="1" applyFill="1" applyBorder="1" applyAlignment="1" applyProtection="1">
      <alignment horizontal="center" vertical="center"/>
    </xf>
    <xf numFmtId="0" fontId="6" fillId="0" borderId="51" xfId="19" applyFont="1" applyFill="1" applyBorder="1" applyAlignment="1" applyProtection="1">
      <alignment horizontal="center" vertical="center"/>
    </xf>
    <xf numFmtId="0" fontId="3" fillId="0" borderId="37" xfId="19" applyFill="1" applyBorder="1" applyAlignment="1" applyProtection="1">
      <alignment horizontal="center" vertical="center" wrapText="1"/>
    </xf>
    <xf numFmtId="0" fontId="3" fillId="0" borderId="49" xfId="19" applyFill="1" applyBorder="1" applyAlignment="1" applyProtection="1">
      <alignment horizontal="center" vertical="center" wrapText="1"/>
    </xf>
    <xf numFmtId="0" fontId="12" fillId="0" borderId="8" xfId="19" applyFont="1" applyBorder="1" applyAlignment="1" applyProtection="1">
      <alignment horizontal="center"/>
    </xf>
    <xf numFmtId="0" fontId="6" fillId="0" borderId="9" xfId="19" applyFont="1" applyBorder="1" applyAlignment="1" applyProtection="1">
      <alignment horizontal="center" vertical="center"/>
    </xf>
    <xf numFmtId="0" fontId="6" fillId="0" borderId="51" xfId="19" applyFont="1" applyBorder="1" applyAlignment="1" applyProtection="1">
      <alignment horizontal="center" vertical="center"/>
    </xf>
    <xf numFmtId="0" fontId="3" fillId="0" borderId="9" xfId="19" applyBorder="1" applyAlignment="1" applyProtection="1">
      <alignment horizontal="center"/>
      <protection locked="0"/>
    </xf>
    <xf numFmtId="0" fontId="3" fillId="0" borderId="51" xfId="19" applyBorder="1" applyAlignment="1" applyProtection="1">
      <alignment horizontal="center"/>
      <protection locked="0"/>
    </xf>
    <xf numFmtId="0" fontId="6" fillId="0" borderId="15" xfId="19" applyFont="1" applyFill="1" applyBorder="1" applyAlignment="1">
      <alignment horizontal="center" vertical="center" wrapText="1"/>
    </xf>
    <xf numFmtId="0" fontId="6" fillId="0" borderId="21" xfId="19" applyFont="1" applyFill="1" applyBorder="1" applyAlignment="1">
      <alignment horizontal="center" vertical="center" wrapText="1"/>
    </xf>
    <xf numFmtId="0" fontId="3" fillId="0" borderId="64" xfId="19" applyFill="1" applyBorder="1" applyAlignment="1">
      <alignment horizontal="center" vertical="center" wrapText="1"/>
    </xf>
    <xf numFmtId="0" fontId="3" fillId="0" borderId="41" xfId="19" applyFill="1" applyBorder="1" applyAlignment="1">
      <alignment horizontal="center" vertical="center" wrapText="1"/>
    </xf>
    <xf numFmtId="0" fontId="3" fillId="0" borderId="0" xfId="19" applyAlignment="1">
      <alignment horizontal="center"/>
    </xf>
    <xf numFmtId="0" fontId="3" fillId="0" borderId="21" xfId="19" applyBorder="1" applyAlignment="1">
      <alignment horizontal="center"/>
    </xf>
    <xf numFmtId="49" fontId="3" fillId="2" borderId="18" xfId="19" applyNumberFormat="1" applyFill="1" applyBorder="1" applyAlignment="1" applyProtection="1">
      <protection locked="0"/>
    </xf>
    <xf numFmtId="49" fontId="3" fillId="2" borderId="19" xfId="19" applyNumberFormat="1" applyFill="1" applyBorder="1" applyAlignment="1" applyProtection="1">
      <protection locked="0"/>
    </xf>
    <xf numFmtId="49" fontId="3" fillId="2" borderId="3" xfId="19" applyNumberFormat="1" applyFill="1" applyBorder="1" applyAlignment="1" applyProtection="1">
      <protection locked="0"/>
    </xf>
    <xf numFmtId="49" fontId="3" fillId="2" borderId="20" xfId="19" applyNumberFormat="1" applyFill="1" applyBorder="1" applyAlignment="1" applyProtection="1">
      <protection locked="0"/>
    </xf>
    <xf numFmtId="0" fontId="24" fillId="0" borderId="0" xfId="19" applyFont="1" applyAlignment="1" applyProtection="1">
      <alignment horizontal="center"/>
    </xf>
    <xf numFmtId="0" fontId="11" fillId="0" borderId="0" xfId="19" applyFont="1" applyAlignment="1" applyProtection="1">
      <alignment horizontal="center"/>
    </xf>
  </cellXfs>
  <cellStyles count="88">
    <cellStyle name="Comma" xfId="1" builtinId="3"/>
    <cellStyle name="Comma 10" xfId="86" xr:uid="{00000000-0005-0000-0000-000001000000}"/>
    <cellStyle name="Comma 2" xfId="2" xr:uid="{00000000-0005-0000-0000-000002000000}"/>
    <cellStyle name="Comma 2 2" xfId="3" xr:uid="{00000000-0005-0000-0000-000003000000}"/>
    <cellStyle name="Comma 2 2 2" xfId="84" xr:uid="{00000000-0005-0000-0000-000004000000}"/>
    <cellStyle name="Comma 3" xfId="4" xr:uid="{00000000-0005-0000-0000-000005000000}"/>
    <cellStyle name="Comma 3 2" xfId="21" xr:uid="{00000000-0005-0000-0000-000006000000}"/>
    <cellStyle name="Comma 3 3" xfId="53" xr:uid="{00000000-0005-0000-0000-000007000000}"/>
    <cellStyle name="Comma 4" xfId="5" xr:uid="{00000000-0005-0000-0000-000008000000}"/>
    <cellStyle name="Comma 4 2" xfId="22" xr:uid="{00000000-0005-0000-0000-000009000000}"/>
    <cellStyle name="Comma 4 3" xfId="49" xr:uid="{00000000-0005-0000-0000-00000A000000}"/>
    <cellStyle name="Comma 5" xfId="6" xr:uid="{00000000-0005-0000-0000-00000B000000}"/>
    <cellStyle name="Comma 5 2" xfId="23" xr:uid="{00000000-0005-0000-0000-00000C000000}"/>
    <cellStyle name="Comma 5 2 2" xfId="80" xr:uid="{00000000-0005-0000-0000-00000D000000}"/>
    <cellStyle name="Comma 5 3" xfId="45" xr:uid="{00000000-0005-0000-0000-00000E000000}"/>
    <cellStyle name="Comma 5 4" xfId="46" xr:uid="{00000000-0005-0000-0000-00000F000000}"/>
    <cellStyle name="Comma 5 4 2" xfId="79" xr:uid="{00000000-0005-0000-0000-000010000000}"/>
    <cellStyle name="Comma 5 5" xfId="52" xr:uid="{00000000-0005-0000-0000-000011000000}"/>
    <cellStyle name="Comma 6" xfId="20" xr:uid="{00000000-0005-0000-0000-000012000000}"/>
    <cellStyle name="Comma 7" xfId="48" xr:uid="{00000000-0005-0000-0000-000013000000}"/>
    <cellStyle name="Comma 7 2" xfId="78" xr:uid="{00000000-0005-0000-0000-000014000000}"/>
    <cellStyle name="Comma 7 3" xfId="43" xr:uid="{00000000-0005-0000-0000-000015000000}"/>
    <cellStyle name="Comma 8" xfId="44" xr:uid="{00000000-0005-0000-0000-000016000000}"/>
    <cellStyle name="Comma 9" xfId="24" xr:uid="{00000000-0005-0000-0000-000017000000}"/>
    <cellStyle name="Currency 2" xfId="7" xr:uid="{00000000-0005-0000-0000-000018000000}"/>
    <cellStyle name="Currency 2 2" xfId="8" xr:uid="{00000000-0005-0000-0000-000019000000}"/>
    <cellStyle name="Currency 3" xfId="9" xr:uid="{00000000-0005-0000-0000-00001A000000}"/>
    <cellStyle name="Currency 3 2" xfId="26" xr:uid="{00000000-0005-0000-0000-00001B000000}"/>
    <cellStyle name="Currency 4" xfId="27" xr:uid="{00000000-0005-0000-0000-00001C000000}"/>
    <cellStyle name="Currency 4 2" xfId="54" xr:uid="{00000000-0005-0000-0000-00001D000000}"/>
    <cellStyle name="Currency 4 3" xfId="55" xr:uid="{00000000-0005-0000-0000-00001E000000}"/>
    <cellStyle name="Currency 4 3 2" xfId="47" xr:uid="{00000000-0005-0000-0000-00001F000000}"/>
    <cellStyle name="Currency 4 4" xfId="58" xr:uid="{00000000-0005-0000-0000-000020000000}"/>
    <cellStyle name="Currency 5" xfId="25" xr:uid="{00000000-0005-0000-0000-000021000000}"/>
    <cellStyle name="Currency 5 2" xfId="59" xr:uid="{00000000-0005-0000-0000-000022000000}"/>
    <cellStyle name="Currency 6" xfId="56" xr:uid="{00000000-0005-0000-0000-000023000000}"/>
    <cellStyle name="Currency 6 2" xfId="51" xr:uid="{00000000-0005-0000-0000-000024000000}"/>
    <cellStyle name="Currency 7" xfId="50" xr:uid="{00000000-0005-0000-0000-000025000000}"/>
    <cellStyle name="Currency 8" xfId="28" xr:uid="{00000000-0005-0000-0000-000026000000}"/>
    <cellStyle name="Hyperlink 2" xfId="29" xr:uid="{00000000-0005-0000-0000-000027000000}"/>
    <cellStyle name="Hyperlink 2 2" xfId="63" xr:uid="{00000000-0005-0000-0000-000028000000}"/>
    <cellStyle name="Hyperlink 2 3" xfId="62" xr:uid="{00000000-0005-0000-0000-000029000000}"/>
    <cellStyle name="Hyperlink 3" xfId="67" xr:uid="{00000000-0005-0000-0000-00002A000000}"/>
    <cellStyle name="Normal" xfId="0" builtinId="0"/>
    <cellStyle name="Normal 2" xfId="10" xr:uid="{00000000-0005-0000-0000-00002C000000}"/>
    <cellStyle name="Normal 2 2" xfId="31" xr:uid="{00000000-0005-0000-0000-00002D000000}"/>
    <cellStyle name="Normal 2 2 2" xfId="32" xr:uid="{00000000-0005-0000-0000-00002E000000}"/>
    <cellStyle name="Normal 2 2 3" xfId="60" xr:uid="{00000000-0005-0000-0000-00002F000000}"/>
    <cellStyle name="Normal 2 2 4" xfId="61" xr:uid="{00000000-0005-0000-0000-000030000000}"/>
    <cellStyle name="Normal 2 2 4 2" xfId="57" xr:uid="{00000000-0005-0000-0000-000031000000}"/>
    <cellStyle name="Normal 2 2 5" xfId="64" xr:uid="{00000000-0005-0000-0000-000032000000}"/>
    <cellStyle name="Normal 2 3" xfId="33" xr:uid="{00000000-0005-0000-0000-000033000000}"/>
    <cellStyle name="Normal 2 4" xfId="30" xr:uid="{00000000-0005-0000-0000-000034000000}"/>
    <cellStyle name="Normal 2 5" xfId="19" xr:uid="{00000000-0005-0000-0000-000035000000}"/>
    <cellStyle name="Normal 2 6" xfId="73" xr:uid="{00000000-0005-0000-0000-000036000000}"/>
    <cellStyle name="Normal 3" xfId="11" xr:uid="{00000000-0005-0000-0000-000037000000}"/>
    <cellStyle name="Normal 3 2" xfId="34" xr:uid="{00000000-0005-0000-0000-000038000000}"/>
    <cellStyle name="Normal 3 2 2" xfId="65" xr:uid="{00000000-0005-0000-0000-000039000000}"/>
    <cellStyle name="Normal 3 3" xfId="35" xr:uid="{00000000-0005-0000-0000-00003A000000}"/>
    <cellStyle name="Normal 4" xfId="12" xr:uid="{00000000-0005-0000-0000-00003B000000}"/>
    <cellStyle name="Normal 4 2" xfId="36" xr:uid="{00000000-0005-0000-0000-00003C000000}"/>
    <cellStyle name="Normal 4 3" xfId="66" xr:uid="{00000000-0005-0000-0000-00003D000000}"/>
    <cellStyle name="Normal 5" xfId="82" xr:uid="{00000000-0005-0000-0000-00003E000000}"/>
    <cellStyle name="Normal 6" xfId="85" xr:uid="{00000000-0005-0000-0000-00003F000000}"/>
    <cellStyle name="Normal 8" xfId="87" xr:uid="{00000000-0005-0000-0000-000040000000}"/>
    <cellStyle name="Normal 9" xfId="37" xr:uid="{00000000-0005-0000-0000-000041000000}"/>
    <cellStyle name="Normal_AFS NEW SHEETS 1997" xfId="68" xr:uid="{00000000-0005-0000-0000-000042000000}"/>
    <cellStyle name="Normal_Woodbine  AFS New Sheets 1997" xfId="69" xr:uid="{00000000-0005-0000-0000-000043000000}"/>
    <cellStyle name="Normal_Woodbine Budget 02 Introduction" xfId="38" xr:uid="{00000000-0005-0000-0000-000044000000}"/>
    <cellStyle name="Percent" xfId="13" builtinId="5"/>
    <cellStyle name="Percent 2" xfId="14" xr:uid="{00000000-0005-0000-0000-000046000000}"/>
    <cellStyle name="Percent 2 2" xfId="15" xr:uid="{00000000-0005-0000-0000-000047000000}"/>
    <cellStyle name="Percent 2 3" xfId="71" xr:uid="{00000000-0005-0000-0000-000048000000}"/>
    <cellStyle name="Percent 3" xfId="16" xr:uid="{00000000-0005-0000-0000-000049000000}"/>
    <cellStyle name="Percent 3 2" xfId="40" xr:uid="{00000000-0005-0000-0000-00004A000000}"/>
    <cellStyle name="Percent 3 2 2" xfId="72" xr:uid="{00000000-0005-0000-0000-00004B000000}"/>
    <cellStyle name="Percent 3 3" xfId="83" xr:uid="{00000000-0005-0000-0000-00004C000000}"/>
    <cellStyle name="Percent 4" xfId="17" xr:uid="{00000000-0005-0000-0000-00004D000000}"/>
    <cellStyle name="Percent 4 2" xfId="41" xr:uid="{00000000-0005-0000-0000-00004E000000}"/>
    <cellStyle name="Percent 5" xfId="18" xr:uid="{00000000-0005-0000-0000-00004F000000}"/>
    <cellStyle name="Percent 5 2" xfId="42" xr:uid="{00000000-0005-0000-0000-000050000000}"/>
    <cellStyle name="Percent 5 3" xfId="75" xr:uid="{00000000-0005-0000-0000-000051000000}"/>
    <cellStyle name="Percent 5 4" xfId="76" xr:uid="{00000000-0005-0000-0000-000052000000}"/>
    <cellStyle name="Percent 5 4 2" xfId="74" xr:uid="{00000000-0005-0000-0000-000053000000}"/>
    <cellStyle name="Percent 6" xfId="39" xr:uid="{00000000-0005-0000-0000-000054000000}"/>
    <cellStyle name="Percent 7" xfId="77" xr:uid="{00000000-0005-0000-0000-000055000000}"/>
    <cellStyle name="Percent 7 2" xfId="81" xr:uid="{00000000-0005-0000-0000-000056000000}"/>
    <cellStyle name="Percent 8" xfId="70" xr:uid="{00000000-0005-0000-0000-00005700000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sharedStrings" Target="sharedStrings.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calcChain" Target="calcChain.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s>
</file>

<file path=xl/ctrlProps/ctrlProp1.xml><?xml version="1.0" encoding="utf-8"?>
<formControlPr xmlns="http://schemas.microsoft.com/office/spreadsheetml/2009/9/main" objectType="Drop" dropLines="20" dropStyle="combo" dx="22" fmlaLink="$D$8" fmlaRange="$U$7:$U$592" noThreeD="1" sel="444" val="428"/>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22860</xdr:colOff>
          <xdr:row>7</xdr:row>
          <xdr:rowOff>7620</xdr:rowOff>
        </xdr:from>
        <xdr:to>
          <xdr:col>4</xdr:col>
          <xdr:colOff>0</xdr:colOff>
          <xdr:row>7</xdr:row>
          <xdr:rowOff>251460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106680</xdr:rowOff>
        </xdr:from>
        <xdr:to>
          <xdr:col>11</xdr:col>
          <xdr:colOff>1104900</xdr:colOff>
          <xdr:row>41</xdr:row>
          <xdr:rowOff>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11"/>
  <sheetViews>
    <sheetView topLeftCell="A4" zoomScaleNormal="100" workbookViewId="0">
      <selection activeCell="C8" sqref="C8"/>
    </sheetView>
  </sheetViews>
  <sheetFormatPr defaultColWidth="9.109375" defaultRowHeight="14.4"/>
  <cols>
    <col min="1" max="1" width="4" style="931" bestFit="1" customWidth="1"/>
    <col min="2" max="2" width="97" style="931" customWidth="1"/>
    <col min="3" max="3" width="30.33203125" style="931" customWidth="1"/>
    <col min="4" max="16384" width="9.109375" style="931"/>
  </cols>
  <sheetData>
    <row r="1" spans="1:3" s="928" customFormat="1" ht="21">
      <c r="A1" s="938"/>
      <c r="B1" s="929" t="s">
        <v>3694</v>
      </c>
    </row>
    <row r="2" spans="1:3">
      <c r="A2" s="939"/>
      <c r="B2" s="930"/>
    </row>
    <row r="3" spans="1:3" s="935" customFormat="1" ht="34.5" customHeight="1">
      <c r="A3" s="932" t="s">
        <v>3695</v>
      </c>
      <c r="B3" s="933" t="s">
        <v>3792</v>
      </c>
      <c r="C3" s="934"/>
    </row>
    <row r="4" spans="1:3" ht="16.5" customHeight="1">
      <c r="A4" s="932" t="s">
        <v>3696</v>
      </c>
      <c r="B4" s="936" t="s">
        <v>3797</v>
      </c>
      <c r="C4" s="936"/>
    </row>
    <row r="5" spans="1:3" ht="16.8">
      <c r="A5" s="932" t="s">
        <v>3697</v>
      </c>
      <c r="B5" s="937" t="s">
        <v>3698</v>
      </c>
      <c r="C5" s="934"/>
    </row>
    <row r="6" spans="1:3" ht="16.8">
      <c r="A6" s="932" t="s">
        <v>3699</v>
      </c>
      <c r="B6" s="937" t="s">
        <v>3700</v>
      </c>
      <c r="C6" s="933"/>
    </row>
    <row r="7" spans="1:3" ht="16.8">
      <c r="A7" s="932" t="s">
        <v>3701</v>
      </c>
      <c r="B7" s="937" t="s">
        <v>3794</v>
      </c>
      <c r="C7" s="933"/>
    </row>
    <row r="8" spans="1:3" ht="67.2">
      <c r="A8" s="932" t="s">
        <v>3702</v>
      </c>
      <c r="B8" s="933" t="s">
        <v>3793</v>
      </c>
      <c r="C8" s="933"/>
    </row>
    <row r="9" spans="1:3" ht="16.8">
      <c r="A9" s="932" t="s">
        <v>3703</v>
      </c>
      <c r="B9" s="933" t="s">
        <v>3795</v>
      </c>
      <c r="C9" s="933"/>
    </row>
    <row r="10" spans="1:3" ht="33.6">
      <c r="A10" s="932" t="s">
        <v>3704</v>
      </c>
      <c r="B10" s="933" t="s">
        <v>3705</v>
      </c>
      <c r="C10" s="933"/>
    </row>
    <row r="11" spans="1:3" ht="16.8">
      <c r="A11" s="932" t="s">
        <v>3706</v>
      </c>
      <c r="B11" s="937" t="s">
        <v>3796</v>
      </c>
    </row>
  </sheetData>
  <sheetProtection password="CAF9" sheet="1" objects="1" scenarios="1"/>
  <pageMargins left="0.25" right="0.25" top="0.75" bottom="0.75" header="0.3" footer="0.3"/>
  <pageSetup paperSize="5" scale="24" fitToWidth="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2:P51"/>
  <sheetViews>
    <sheetView tabSelected="1" topLeftCell="A4" zoomScaleNormal="100" zoomScaleSheetLayoutView="90" workbookViewId="0">
      <selection activeCell="G12" sqref="G12"/>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7" width="16.6640625" style="277" customWidth="1"/>
    <col min="8" max="8" width="16.6640625" customWidth="1"/>
    <col min="9" max="9" width="12.88671875" bestFit="1" customWidth="1"/>
  </cols>
  <sheetData>
    <row r="2" spans="2:16">
      <c r="B2" s="1554" t="s">
        <v>129</v>
      </c>
      <c r="C2" s="1554"/>
      <c r="D2" s="1554"/>
      <c r="E2" s="1554"/>
      <c r="F2" s="1554"/>
      <c r="G2" s="1554"/>
      <c r="H2" s="1554"/>
    </row>
    <row r="4" spans="2:16" ht="22.8">
      <c r="B4" s="1548" t="s">
        <v>543</v>
      </c>
      <c r="C4" s="1548"/>
      <c r="D4" s="1548"/>
      <c r="E4" s="1548"/>
      <c r="F4" s="1548"/>
      <c r="G4" s="1548"/>
      <c r="H4" s="1548"/>
    </row>
    <row r="5" spans="2:16" ht="22.8">
      <c r="B5" s="1548" t="s">
        <v>712</v>
      </c>
      <c r="C5" s="1548"/>
      <c r="D5" s="1548"/>
      <c r="E5" s="1548"/>
      <c r="F5" s="1548"/>
      <c r="G5" s="1548"/>
      <c r="H5" s="1548"/>
    </row>
    <row r="6" spans="2:16" ht="15.6">
      <c r="B6" s="1555" t="str">
        <f>'KEY INPUTS'!D44</f>
        <v>AS  AT  DECEMBER  31, 2019</v>
      </c>
      <c r="C6" s="1509"/>
      <c r="D6" s="1509"/>
      <c r="E6" s="1509"/>
      <c r="F6" s="1509"/>
      <c r="G6" s="1509"/>
      <c r="H6" s="1509"/>
    </row>
    <row r="8" spans="2:16" ht="15" customHeight="1" thickBot="1">
      <c r="B8" s="1556" t="s">
        <v>123</v>
      </c>
      <c r="C8" s="1556"/>
      <c r="D8" s="1556"/>
      <c r="E8" s="1556"/>
      <c r="F8" s="1556"/>
      <c r="G8" s="1556"/>
      <c r="H8" s="1556"/>
    </row>
    <row r="9" spans="2:16" ht="36" customHeight="1" thickTop="1" thickBot="1">
      <c r="B9" s="1552" t="s">
        <v>124</v>
      </c>
      <c r="C9" s="1552"/>
      <c r="D9" s="1552"/>
      <c r="E9" s="1552"/>
      <c r="F9" s="1553"/>
      <c r="G9" s="259" t="s">
        <v>125</v>
      </c>
      <c r="H9" s="3" t="s">
        <v>126</v>
      </c>
    </row>
    <row r="10" spans="2:16" ht="21" customHeight="1" thickTop="1">
      <c r="G10" s="361"/>
      <c r="H10" s="230"/>
    </row>
    <row r="11" spans="2:16" ht="21" customHeight="1">
      <c r="B11" s="5"/>
      <c r="C11" s="5" t="s">
        <v>459</v>
      </c>
      <c r="D11" s="5"/>
      <c r="E11" s="5"/>
      <c r="F11" s="5"/>
      <c r="G11" s="337">
        <f>+'9-Cash Reconciliation'!I6</f>
        <v>33818416.800000004</v>
      </c>
      <c r="H11" s="718"/>
      <c r="I11" s="312"/>
    </row>
    <row r="12" spans="2:16" s="322" customFormat="1" ht="21" customHeight="1">
      <c r="B12" s="323"/>
      <c r="C12" s="326" t="s">
        <v>3475</v>
      </c>
      <c r="D12" s="323"/>
      <c r="E12" s="323"/>
      <c r="F12" s="323"/>
      <c r="G12" s="372">
        <v>25936.54</v>
      </c>
      <c r="H12" s="589"/>
      <c r="I12" s="325"/>
    </row>
    <row r="13" spans="2:16" ht="21" customHeight="1">
      <c r="B13" s="5"/>
      <c r="C13" s="326" t="s">
        <v>3474</v>
      </c>
      <c r="D13" s="5"/>
      <c r="E13" s="5"/>
      <c r="F13" s="5"/>
      <c r="G13" s="337">
        <f>'23-SCVet Deductions'!J21</f>
        <v>0</v>
      </c>
      <c r="H13" s="718">
        <f>'23-SCVet Deductions'!I22</f>
        <v>39333.030000000028</v>
      </c>
      <c r="I13" s="715"/>
      <c r="J13" s="277"/>
      <c r="K13" s="277"/>
      <c r="L13" s="277"/>
      <c r="M13" s="277"/>
      <c r="N13" s="277"/>
      <c r="O13" s="277"/>
      <c r="P13" s="277"/>
    </row>
    <row r="14" spans="2:16" ht="21" customHeight="1">
      <c r="B14" s="5"/>
      <c r="C14" s="566"/>
      <c r="D14" s="566"/>
      <c r="E14" s="566"/>
      <c r="F14" s="566"/>
      <c r="G14" s="372"/>
      <c r="H14" s="589"/>
    </row>
    <row r="15" spans="2:16" ht="21" customHeight="1">
      <c r="B15" s="323"/>
      <c r="C15" s="566"/>
      <c r="D15" s="566"/>
      <c r="E15" s="566"/>
      <c r="F15" s="566"/>
      <c r="G15" s="595"/>
      <c r="H15" s="595"/>
    </row>
    <row r="16" spans="2:16" ht="21" customHeight="1">
      <c r="B16" s="118" t="s">
        <v>3501</v>
      </c>
      <c r="G16" s="745"/>
      <c r="H16" s="746"/>
      <c r="I16" s="325"/>
    </row>
    <row r="17" spans="2:9" ht="21" customHeight="1" thickBot="1">
      <c r="B17" s="5"/>
      <c r="C17" s="5" t="s">
        <v>460</v>
      </c>
      <c r="D17" s="5"/>
      <c r="E17" s="5"/>
      <c r="F17" s="7"/>
      <c r="G17" s="337"/>
      <c r="H17" s="214"/>
      <c r="I17" s="325"/>
    </row>
    <row r="18" spans="2:9" ht="21" customHeight="1">
      <c r="B18" s="5"/>
      <c r="C18" s="5" t="s">
        <v>461</v>
      </c>
      <c r="D18" s="5"/>
      <c r="E18" s="5"/>
      <c r="F18" s="754">
        <f>+'26-Delinquent Taxes and Liens'!I29-'3-Trial Bal-Current Fund'!F19</f>
        <v>0</v>
      </c>
      <c r="G18" s="723"/>
      <c r="H18" s="718"/>
      <c r="I18" s="312"/>
    </row>
    <row r="19" spans="2:9" ht="21" customHeight="1" thickBot="1">
      <c r="B19" s="323"/>
      <c r="C19" s="323" t="s">
        <v>462</v>
      </c>
      <c r="D19" s="323"/>
      <c r="E19" s="323"/>
      <c r="F19" s="755">
        <f>+'22-2019 Levy'!N35</f>
        <v>995686.94999998808</v>
      </c>
      <c r="G19" s="724"/>
      <c r="H19" s="718"/>
      <c r="I19" s="312"/>
    </row>
    <row r="20" spans="2:9" ht="21" customHeight="1">
      <c r="B20" s="323"/>
      <c r="C20" s="323"/>
      <c r="D20" s="323" t="s">
        <v>463</v>
      </c>
      <c r="E20" s="323"/>
      <c r="F20" s="284"/>
      <c r="G20" s="337">
        <f>+F19+F18</f>
        <v>995686.94999998808</v>
      </c>
      <c r="H20" s="718"/>
      <c r="I20" s="312"/>
    </row>
    <row r="21" spans="2:9" ht="21" customHeight="1">
      <c r="B21" s="323"/>
      <c r="C21" s="323" t="s">
        <v>464</v>
      </c>
      <c r="D21" s="323"/>
      <c r="E21" s="323"/>
      <c r="F21" s="323"/>
      <c r="G21" s="337">
        <f>+'26-Delinquent Taxes and Liens'!I30</f>
        <v>530556.78</v>
      </c>
      <c r="H21" s="718"/>
    </row>
    <row r="22" spans="2:9" ht="21" customHeight="1">
      <c r="B22" s="323"/>
      <c r="C22" s="323" t="s">
        <v>465</v>
      </c>
      <c r="D22" s="323"/>
      <c r="E22" s="323"/>
      <c r="F22" s="323"/>
      <c r="G22" s="337">
        <f>+'27-Foreclosed Property'!L20</f>
        <v>698460</v>
      </c>
      <c r="H22" s="718"/>
    </row>
    <row r="23" spans="2:9" ht="21" customHeight="1">
      <c r="B23" s="323"/>
      <c r="C23" s="733" t="s">
        <v>3502</v>
      </c>
      <c r="D23" s="725"/>
      <c r="E23" s="725"/>
      <c r="F23" s="725"/>
      <c r="G23" s="731">
        <f>'27-Foreclosed Property'!L30</f>
        <v>0</v>
      </c>
      <c r="H23" s="214"/>
      <c r="I23" s="273"/>
    </row>
    <row r="24" spans="2:9" ht="21" customHeight="1">
      <c r="B24" s="323"/>
      <c r="C24" s="733" t="s">
        <v>3503</v>
      </c>
      <c r="D24" s="725"/>
      <c r="E24" s="725"/>
      <c r="F24" s="725"/>
      <c r="G24" s="731">
        <f>'27-Foreclosed Property'!L40</f>
        <v>0</v>
      </c>
      <c r="H24" s="214"/>
      <c r="I24" s="325"/>
    </row>
    <row r="25" spans="2:9" ht="21" customHeight="1">
      <c r="B25" s="5"/>
      <c r="C25" s="566" t="s">
        <v>4023</v>
      </c>
      <c r="D25" s="767"/>
      <c r="E25" s="768"/>
      <c r="F25" s="566"/>
      <c r="G25" s="372">
        <v>20692.23</v>
      </c>
      <c r="H25" s="589"/>
    </row>
    <row r="26" spans="2:9" ht="21" customHeight="1">
      <c r="B26" s="5"/>
      <c r="C26" s="566" t="s">
        <v>4024</v>
      </c>
      <c r="D26" s="768"/>
      <c r="E26" s="768"/>
      <c r="F26" s="566"/>
      <c r="G26" s="372">
        <v>54177.14</v>
      </c>
      <c r="H26" s="589"/>
    </row>
    <row r="27" spans="2:9" ht="21" customHeight="1">
      <c r="B27" s="5"/>
      <c r="C27" s="566" t="s">
        <v>4025</v>
      </c>
      <c r="D27" s="768"/>
      <c r="E27" s="768"/>
      <c r="F27" s="566"/>
      <c r="G27" s="372">
        <v>2171.3999999999996</v>
      </c>
      <c r="H27" s="589"/>
      <c r="I27" s="312"/>
    </row>
    <row r="28" spans="2:9" ht="21" customHeight="1">
      <c r="B28" s="5"/>
      <c r="C28" s="566"/>
      <c r="D28" s="768"/>
      <c r="E28" s="768"/>
      <c r="F28" s="566"/>
      <c r="G28" s="372"/>
      <c r="H28" s="589"/>
      <c r="I28" s="312"/>
    </row>
    <row r="29" spans="2:9" ht="21" customHeight="1">
      <c r="B29" s="5"/>
      <c r="C29" s="566"/>
      <c r="D29" s="768"/>
      <c r="E29" s="768"/>
      <c r="F29" s="566"/>
      <c r="G29" s="372"/>
      <c r="H29" s="589"/>
      <c r="I29" s="325"/>
    </row>
    <row r="30" spans="2:9" ht="21" customHeight="1">
      <c r="B30" s="323"/>
      <c r="C30" s="567"/>
      <c r="D30" s="768"/>
      <c r="E30" s="768"/>
      <c r="F30" s="566"/>
      <c r="G30" s="372"/>
      <c r="H30" s="589"/>
      <c r="I30" s="324"/>
    </row>
    <row r="31" spans="2:9" ht="21" customHeight="1">
      <c r="B31" s="323"/>
      <c r="C31" s="566"/>
      <c r="D31" s="768"/>
      <c r="E31" s="768"/>
      <c r="F31" s="566"/>
      <c r="G31" s="372"/>
      <c r="H31" s="589"/>
      <c r="I31" s="324"/>
    </row>
    <row r="32" spans="2:9" ht="21" customHeight="1">
      <c r="B32" s="323"/>
      <c r="C32" s="566"/>
      <c r="D32" s="768"/>
      <c r="E32" s="768"/>
      <c r="F32" s="566"/>
      <c r="G32" s="372"/>
      <c r="H32" s="589"/>
      <c r="I32" s="324"/>
    </row>
    <row r="33" spans="2:9" ht="21" customHeight="1">
      <c r="B33" s="326"/>
      <c r="C33" s="567"/>
      <c r="D33" s="768"/>
      <c r="E33" s="768"/>
      <c r="F33" s="566"/>
      <c r="G33" s="372"/>
      <c r="H33" s="589"/>
      <c r="I33" s="324"/>
    </row>
    <row r="34" spans="2:9" ht="21" customHeight="1">
      <c r="B34" s="323"/>
      <c r="C34" s="375"/>
      <c r="D34" s="768"/>
      <c r="E34" s="768"/>
      <c r="F34" s="566"/>
      <c r="G34" s="372"/>
      <c r="H34" s="589"/>
      <c r="I34" s="324"/>
    </row>
    <row r="35" spans="2:9" ht="21" customHeight="1">
      <c r="B35" s="323"/>
      <c r="C35" s="375"/>
      <c r="D35" s="768"/>
      <c r="E35" s="768"/>
      <c r="F35" s="566"/>
      <c r="G35" s="372"/>
      <c r="H35" s="589"/>
    </row>
    <row r="36" spans="2:9" s="322" customFormat="1" ht="21" customHeight="1">
      <c r="B36" s="323"/>
      <c r="C36" s="375"/>
      <c r="D36" s="817"/>
      <c r="E36" s="827"/>
      <c r="F36" s="566"/>
      <c r="G36" s="372"/>
      <c r="H36" s="589"/>
    </row>
    <row r="37" spans="2:9" ht="21" customHeight="1">
      <c r="B37" s="5"/>
      <c r="C37" s="323" t="s">
        <v>993</v>
      </c>
      <c r="D37" s="323"/>
      <c r="E37" s="323"/>
      <c r="F37" s="323"/>
      <c r="G37" s="373"/>
      <c r="H37" s="214"/>
    </row>
    <row r="38" spans="2:9" ht="21" customHeight="1">
      <c r="B38" s="5"/>
      <c r="C38" s="323"/>
      <c r="D38" s="349" t="s">
        <v>575</v>
      </c>
      <c r="E38" s="349"/>
      <c r="F38" s="323"/>
      <c r="G38" s="372"/>
      <c r="H38" s="719"/>
      <c r="I38" s="743"/>
    </row>
    <row r="39" spans="2:9" ht="21" customHeight="1">
      <c r="B39" s="5"/>
      <c r="C39" s="5"/>
      <c r="D39" s="349" t="s">
        <v>994</v>
      </c>
      <c r="E39" s="349"/>
      <c r="F39" s="5"/>
      <c r="G39" s="908">
        <f>+'29-Special Emergency'!L$21+'30-Special Emergency'!L21</f>
        <v>210000</v>
      </c>
      <c r="H39" s="589"/>
      <c r="I39" s="743"/>
    </row>
    <row r="40" spans="2:9" ht="21" customHeight="1">
      <c r="B40" s="5"/>
      <c r="C40" s="5"/>
      <c r="D40" s="349" t="s">
        <v>1157</v>
      </c>
      <c r="E40" s="349"/>
      <c r="F40" s="5"/>
      <c r="G40" s="722">
        <f>'19-Results of Op-Cur Fnd'!I43</f>
        <v>0</v>
      </c>
      <c r="H40" s="589"/>
      <c r="I40" s="324"/>
    </row>
    <row r="41" spans="2:9" s="322" customFormat="1" ht="21" customHeight="1">
      <c r="B41" s="323"/>
      <c r="C41" s="375"/>
      <c r="D41" s="817"/>
      <c r="E41" s="827"/>
      <c r="F41" s="566"/>
      <c r="G41" s="372"/>
      <c r="H41" s="589"/>
    </row>
    <row r="42" spans="2:9" s="322" customFormat="1" ht="21" customHeight="1">
      <c r="B42" s="323"/>
      <c r="C42" s="375"/>
      <c r="D42" s="817"/>
      <c r="E42" s="827"/>
      <c r="F42" s="566"/>
      <c r="G42" s="372"/>
      <c r="H42" s="589"/>
    </row>
    <row r="43" spans="2:9" s="322" customFormat="1" ht="21" customHeight="1">
      <c r="B43" s="323"/>
      <c r="C43" s="375"/>
      <c r="D43" s="817"/>
      <c r="E43" s="827"/>
      <c r="F43" s="566"/>
      <c r="G43" s="372"/>
      <c r="H43" s="589"/>
    </row>
    <row r="44" spans="2:9" ht="21" customHeight="1">
      <c r="B44" s="5"/>
      <c r="C44" s="375"/>
      <c r="D44" s="817"/>
      <c r="E44" s="817"/>
      <c r="F44" s="566"/>
      <c r="G44" s="372"/>
      <c r="H44" s="589"/>
    </row>
    <row r="45" spans="2:9" ht="21" customHeight="1">
      <c r="B45" s="5"/>
      <c r="C45" s="375"/>
      <c r="D45" s="817"/>
      <c r="E45" s="817"/>
      <c r="F45" s="566"/>
      <c r="G45" s="372"/>
      <c r="H45" s="589"/>
    </row>
    <row r="46" spans="2:9" ht="21" customHeight="1">
      <c r="B46" s="5"/>
      <c r="C46" s="5"/>
      <c r="D46" s="5"/>
      <c r="E46" s="5" t="s">
        <v>995</v>
      </c>
      <c r="F46" s="5"/>
      <c r="G46" s="337">
        <f>SUM(G10:G45)</f>
        <v>36356097.839999989</v>
      </c>
      <c r="H46" s="214">
        <f>SUM(H10:H45)</f>
        <v>39333.030000000028</v>
      </c>
    </row>
    <row r="47" spans="2:9">
      <c r="B47" s="1511" t="s">
        <v>127</v>
      </c>
      <c r="C47" s="1511"/>
      <c r="D47" s="1511"/>
      <c r="E47" s="1511"/>
      <c r="F47" s="1511"/>
      <c r="G47" s="1511"/>
      <c r="H47" s="1511"/>
    </row>
    <row r="48" spans="2:9" ht="13.8">
      <c r="B48" s="1507" t="s">
        <v>128</v>
      </c>
      <c r="C48" s="1507"/>
      <c r="D48" s="1507"/>
      <c r="E48" s="1507"/>
      <c r="F48" s="1507"/>
      <c r="G48" s="1507"/>
      <c r="H48" s="1507"/>
    </row>
    <row r="51" spans="7:7">
      <c r="G51" s="327"/>
    </row>
  </sheetData>
  <sheetProtection password="CAF9"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+'11.38 Grants Approp Rsrv'!F27</f>
        <v>655275.70000000007</v>
      </c>
      <c r="G8" s="1031">
        <f>+'11.38 Grants Approp Rsrv'!G27</f>
        <v>884543.77</v>
      </c>
      <c r="H8" s="1031">
        <f>+'11.38 Grants Approp Rsrv'!H27</f>
        <v>146441.91999999998</v>
      </c>
      <c r="I8" s="1031">
        <f>+'11.38 Grants Approp Rsrv'!I27</f>
        <v>1110151.49</v>
      </c>
      <c r="J8" s="1031">
        <f>+'11.38 Grants Approp Rsrv'!J27</f>
        <v>0</v>
      </c>
      <c r="K8" s="1031">
        <f>+'11.38 Grants Approp Rsrv'!K27</f>
        <v>0</v>
      </c>
      <c r="L8" s="1032">
        <f>+'11.38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3611</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+'11.39 Grants Approp Rsrv'!F27</f>
        <v>655275.70000000007</v>
      </c>
      <c r="G8" s="1031">
        <f>+'11.39 Grants Approp Rsrv'!G27</f>
        <v>884543.77</v>
      </c>
      <c r="H8" s="1031">
        <f>+'11.39 Grants Approp Rsrv'!H27</f>
        <v>146441.91999999998</v>
      </c>
      <c r="I8" s="1031">
        <f>+'11.39 Grants Approp Rsrv'!I27</f>
        <v>1110151.49</v>
      </c>
      <c r="J8" s="1031">
        <f>+'11.39 Grants Approp Rsrv'!J27</f>
        <v>0</v>
      </c>
      <c r="K8" s="1031">
        <f>+'11.39 Grants Approp Rsrv'!K27</f>
        <v>0</v>
      </c>
      <c r="L8" s="1032">
        <f>+'11.39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3612</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A17" s="1613"/>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3572</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mergeCells count="24">
    <mergeCell ref="B23:E23"/>
    <mergeCell ref="B24:E24"/>
    <mergeCell ref="B25:E25"/>
    <mergeCell ref="B26:E26"/>
    <mergeCell ref="B18:E18"/>
    <mergeCell ref="B19:E19"/>
    <mergeCell ref="B20:E20"/>
    <mergeCell ref="B21:E21"/>
    <mergeCell ref="B22:E22"/>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S32"/>
  <sheetViews>
    <sheetView zoomScaleNormal="100" workbookViewId="0">
      <selection activeCell="B1" sqref="B1"/>
    </sheetView>
  </sheetViews>
  <sheetFormatPr defaultRowHeight="13.2"/>
  <cols>
    <col min="1" max="1" width="5.6640625" customWidth="1"/>
    <col min="2" max="4" width="4.88671875" customWidth="1"/>
    <col min="5" max="5" width="48.44140625" customWidth="1"/>
    <col min="6" max="11" width="15.6640625" customWidth="1"/>
    <col min="12" max="12" width="10.5546875" bestFit="1" customWidth="1"/>
  </cols>
  <sheetData>
    <row r="1" spans="1:19">
      <c r="A1" s="324"/>
      <c r="B1" s="322"/>
      <c r="C1" s="322"/>
      <c r="D1" s="322"/>
      <c r="E1" s="322"/>
      <c r="F1" s="322"/>
      <c r="G1" s="322"/>
      <c r="H1" s="322"/>
      <c r="I1" s="322"/>
      <c r="J1" s="322"/>
      <c r="K1" s="322"/>
    </row>
    <row r="2" spans="1:19" ht="20.399999999999999">
      <c r="B2" s="1508" t="s">
        <v>305</v>
      </c>
      <c r="C2" s="1508"/>
      <c r="D2" s="1508"/>
      <c r="E2" s="1508"/>
      <c r="F2" s="1508"/>
      <c r="G2" s="1508"/>
      <c r="H2" s="1508"/>
      <c r="I2" s="1508"/>
      <c r="J2" s="1508"/>
      <c r="K2" s="1508"/>
    </row>
    <row r="3" spans="1:19" ht="21" thickBot="1">
      <c r="B3" s="1508" t="s">
        <v>135</v>
      </c>
      <c r="C3" s="1508"/>
      <c r="D3" s="1508"/>
      <c r="E3" s="1508"/>
      <c r="F3" s="1508"/>
      <c r="G3" s="1508"/>
      <c r="H3" s="1508"/>
      <c r="I3" s="1508"/>
      <c r="J3" s="1508"/>
      <c r="K3" s="1508"/>
    </row>
    <row r="4" spans="1:19" ht="13.8" thickTop="1">
      <c r="B4" s="11"/>
      <c r="C4" s="11"/>
      <c r="D4" s="11"/>
      <c r="E4" s="11"/>
      <c r="F4" s="12"/>
      <c r="G4" s="1599" t="str">
        <f>"Transferred from "&amp;TEXT('KEY INPUTS'!D34,"0")</f>
        <v>Transferred from 2019</v>
      </c>
      <c r="H4" s="1600"/>
      <c r="I4" s="12"/>
      <c r="J4" s="11"/>
      <c r="K4" s="18"/>
      <c r="L4" s="794"/>
    </row>
    <row r="5" spans="1:19">
      <c r="B5" s="1545" t="s">
        <v>805</v>
      </c>
      <c r="C5" s="1545"/>
      <c r="D5" s="1545"/>
      <c r="E5" s="1594"/>
      <c r="F5" s="282" t="s">
        <v>672</v>
      </c>
      <c r="G5" s="1601" t="s">
        <v>301</v>
      </c>
      <c r="H5" s="1602"/>
      <c r="I5" s="282" t="s">
        <v>804</v>
      </c>
      <c r="J5" s="709" t="s">
        <v>280</v>
      </c>
      <c r="K5" s="21" t="s">
        <v>672</v>
      </c>
    </row>
    <row r="6" spans="1:19">
      <c r="B6" s="322"/>
      <c r="C6" s="322"/>
      <c r="D6" s="322"/>
      <c r="E6" s="322"/>
      <c r="F6" s="299" t="str">
        <f>'KEY INPUTS'!D47</f>
        <v>Jan. 1, 2019</v>
      </c>
      <c r="G6" s="282" t="s">
        <v>677</v>
      </c>
      <c r="H6" s="282" t="s">
        <v>299</v>
      </c>
      <c r="I6" s="282"/>
      <c r="J6" s="999"/>
      <c r="K6" s="298" t="str">
        <f>'KEY INPUTS'!D46</f>
        <v>Dec. 31, 2019</v>
      </c>
    </row>
    <row r="7" spans="1:19" ht="13.8" thickBot="1">
      <c r="B7" s="10"/>
      <c r="C7" s="10"/>
      <c r="D7" s="10"/>
      <c r="E7" s="10"/>
      <c r="F7" s="14"/>
      <c r="G7" s="16"/>
      <c r="H7" s="16" t="s">
        <v>300</v>
      </c>
      <c r="I7" s="14"/>
      <c r="J7" s="17"/>
      <c r="K7" s="19"/>
    </row>
    <row r="8" spans="1:19" ht="21" customHeight="1" thickTop="1">
      <c r="B8" s="569"/>
      <c r="C8" s="642"/>
      <c r="D8" s="569"/>
      <c r="E8" s="714"/>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576"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576"/>
      <c r="B16" s="566"/>
      <c r="C16" s="566"/>
      <c r="D16" s="566"/>
      <c r="E16" s="577"/>
      <c r="F16" s="374"/>
      <c r="G16" s="374"/>
      <c r="H16" s="374"/>
      <c r="I16" s="374"/>
      <c r="J16" s="374"/>
      <c r="K16" s="134">
        <f t="shared" si="0"/>
        <v>0</v>
      </c>
      <c r="N16" s="322"/>
      <c r="O16" s="322"/>
      <c r="P16" s="322"/>
      <c r="Q16" s="322"/>
      <c r="R16" s="322"/>
      <c r="S16" s="322"/>
    </row>
    <row r="17" spans="1:19" ht="21" customHeight="1">
      <c r="A17" s="1576"/>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3546</v>
      </c>
      <c r="D27" s="27"/>
      <c r="E27" s="41"/>
      <c r="F27" s="99">
        <f>SUM(F8:F26)</f>
        <v>0</v>
      </c>
      <c r="G27" s="99">
        <f t="shared" ref="G27:K27" si="1">SUM(G8:G26)</f>
        <v>0</v>
      </c>
      <c r="H27" s="99">
        <f t="shared" si="1"/>
        <v>0</v>
      </c>
      <c r="I27" s="99">
        <f>SUM(I8:I26)</f>
        <v>0</v>
      </c>
      <c r="J27" s="99">
        <f t="shared" si="1"/>
        <v>0</v>
      </c>
      <c r="K27" s="136">
        <f t="shared" si="1"/>
        <v>0</v>
      </c>
      <c r="L27" s="711"/>
    </row>
    <row r="28" spans="1:19" ht="13.8" thickTop="1"/>
    <row r="29" spans="1:19">
      <c r="K29" s="228"/>
    </row>
    <row r="30" spans="1:19">
      <c r="F30" s="228"/>
      <c r="G30" s="228"/>
      <c r="J30" s="228"/>
      <c r="K30" s="291"/>
    </row>
    <row r="32" spans="1:19">
      <c r="K32" s="228"/>
    </row>
  </sheetData>
  <sheetProtection password="CAF9"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5"/>
      <c r="C1" s="855"/>
      <c r="D1" s="855"/>
      <c r="E1" s="855"/>
      <c r="F1" s="855"/>
      <c r="G1" s="855"/>
      <c r="H1" s="855"/>
      <c r="I1" s="855"/>
      <c r="J1" s="855"/>
      <c r="K1" s="855"/>
    </row>
    <row r="2" spans="1:14" ht="20.399999999999999">
      <c r="B2" s="1595" t="s">
        <v>305</v>
      </c>
      <c r="C2" s="1595"/>
      <c r="D2" s="1595"/>
      <c r="E2" s="1595"/>
      <c r="F2" s="1595"/>
      <c r="G2" s="1595"/>
      <c r="H2" s="1595"/>
      <c r="I2" s="1595"/>
      <c r="J2" s="1595"/>
      <c r="K2" s="1595"/>
    </row>
    <row r="3" spans="1:14" ht="21" thickBot="1">
      <c r="B3" s="1595" t="s">
        <v>135</v>
      </c>
      <c r="C3" s="1595"/>
      <c r="D3" s="1595"/>
      <c r="E3" s="1595"/>
      <c r="F3" s="1595"/>
      <c r="G3" s="1595"/>
      <c r="H3" s="1595"/>
      <c r="I3" s="1595"/>
      <c r="J3" s="1595"/>
      <c r="K3" s="1595"/>
    </row>
    <row r="4" spans="1:14" ht="13.8" thickTop="1">
      <c r="B4" s="888"/>
      <c r="C4" s="888"/>
      <c r="D4" s="888"/>
      <c r="E4" s="888"/>
      <c r="F4" s="889"/>
      <c r="G4" s="1609" t="str">
        <f>"Transferred from "&amp;TEXT('KEY INPUTS'!D34,"0")</f>
        <v>Transferred from 2019</v>
      </c>
      <c r="H4" s="1610"/>
      <c r="I4" s="889"/>
      <c r="J4" s="888"/>
      <c r="K4" s="865"/>
      <c r="L4" s="794"/>
    </row>
    <row r="5" spans="1:14">
      <c r="B5" s="1596" t="s">
        <v>805</v>
      </c>
      <c r="C5" s="1596"/>
      <c r="D5" s="1596"/>
      <c r="E5" s="1597"/>
      <c r="F5" s="891" t="s">
        <v>672</v>
      </c>
      <c r="G5" s="1611" t="s">
        <v>301</v>
      </c>
      <c r="H5" s="1612"/>
      <c r="I5" s="891" t="s">
        <v>804</v>
      </c>
      <c r="J5" s="1033" t="s">
        <v>280</v>
      </c>
      <c r="K5" s="866" t="s">
        <v>672</v>
      </c>
    </row>
    <row r="6" spans="1:14">
      <c r="B6" s="855"/>
      <c r="C6" s="855"/>
      <c r="D6" s="855"/>
      <c r="E6" s="855"/>
      <c r="F6" s="894" t="str">
        <f>'KEY INPUTS'!D47</f>
        <v>Jan. 1, 2019</v>
      </c>
      <c r="G6" s="891" t="s">
        <v>677</v>
      </c>
      <c r="H6" s="891" t="s">
        <v>299</v>
      </c>
      <c r="I6" s="891"/>
      <c r="J6" s="896"/>
      <c r="K6" s="867" t="str">
        <f>'KEY INPUTS'!D46</f>
        <v>Dec. 31, 2019</v>
      </c>
    </row>
    <row r="7" spans="1:14" ht="13.8" thickBot="1">
      <c r="B7" s="897"/>
      <c r="C7" s="897"/>
      <c r="D7" s="897"/>
      <c r="E7" s="897"/>
      <c r="F7" s="898"/>
      <c r="G7" s="899"/>
      <c r="H7" s="899" t="s">
        <v>300</v>
      </c>
      <c r="I7" s="898"/>
      <c r="J7" s="900"/>
      <c r="K7" s="868"/>
    </row>
    <row r="8" spans="1:14" ht="21" customHeight="1" thickTop="1">
      <c r="B8" s="885"/>
      <c r="C8" s="1034" t="s">
        <v>3547</v>
      </c>
      <c r="D8" s="885"/>
      <c r="E8" s="1034"/>
      <c r="F8" s="902">
        <f>+'12-Grants Unappropriated'!F27</f>
        <v>0</v>
      </c>
      <c r="G8" s="902">
        <f>+'12-Grants Unappropriated'!G27</f>
        <v>0</v>
      </c>
      <c r="H8" s="902">
        <f>+'12-Grants Unappropriated'!H27</f>
        <v>0</v>
      </c>
      <c r="I8" s="902">
        <f>+'12-Grants Unappropriated'!I27</f>
        <v>0</v>
      </c>
      <c r="J8" s="902">
        <f>+'12-Grants Unappropriated'!J27</f>
        <v>0</v>
      </c>
      <c r="K8" s="846">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7"/>
      <c r="D10" s="375"/>
      <c r="E10" s="795"/>
      <c r="F10" s="665"/>
      <c r="G10" s="665"/>
      <c r="H10" s="665"/>
      <c r="I10" s="665"/>
      <c r="J10" s="665"/>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6" t="s">
        <v>3665</v>
      </c>
      <c r="B15" s="566"/>
      <c r="C15" s="566"/>
      <c r="D15" s="566"/>
      <c r="E15" s="577"/>
      <c r="F15" s="374"/>
      <c r="G15" s="374"/>
      <c r="H15" s="374"/>
      <c r="I15" s="374"/>
      <c r="J15" s="374"/>
      <c r="K15" s="134">
        <f t="shared" si="0"/>
        <v>0</v>
      </c>
      <c r="L15" s="325"/>
    </row>
    <row r="16" spans="1:14" ht="21" customHeight="1">
      <c r="A16" s="1576"/>
      <c r="B16" s="566"/>
      <c r="C16" s="566"/>
      <c r="D16" s="566"/>
      <c r="E16" s="577"/>
      <c r="F16" s="374"/>
      <c r="G16" s="374"/>
      <c r="H16" s="374"/>
      <c r="I16" s="374"/>
      <c r="J16" s="374"/>
      <c r="K16" s="134">
        <f t="shared" si="0"/>
        <v>0</v>
      </c>
    </row>
    <row r="17" spans="1:12" ht="21" customHeight="1">
      <c r="A17" s="157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3546</v>
      </c>
      <c r="D27" s="27"/>
      <c r="E27" s="41"/>
      <c r="F27" s="99">
        <f>SUM(F8:F26)</f>
        <v>0</v>
      </c>
      <c r="G27" s="99">
        <f t="shared" ref="G27:K27" si="1">SUM(G8:G26)</f>
        <v>0</v>
      </c>
      <c r="H27" s="99">
        <f t="shared" si="1"/>
        <v>0</v>
      </c>
      <c r="I27" s="99">
        <f>SUM(I8:I26)</f>
        <v>0</v>
      </c>
      <c r="J27" s="99">
        <f t="shared" si="1"/>
        <v>0</v>
      </c>
      <c r="K27" s="136">
        <f t="shared" si="1"/>
        <v>0</v>
      </c>
      <c r="L27" s="711"/>
    </row>
    <row r="28" spans="1:12" ht="13.8"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5"/>
      <c r="C1" s="855"/>
      <c r="D1" s="855"/>
      <c r="E1" s="855"/>
      <c r="F1" s="855"/>
      <c r="G1" s="855"/>
      <c r="H1" s="855"/>
      <c r="I1" s="855"/>
      <c r="J1" s="855"/>
      <c r="K1" s="855"/>
    </row>
    <row r="2" spans="1:14" ht="20.399999999999999">
      <c r="B2" s="1595" t="s">
        <v>305</v>
      </c>
      <c r="C2" s="1595"/>
      <c r="D2" s="1595"/>
      <c r="E2" s="1595"/>
      <c r="F2" s="1595"/>
      <c r="G2" s="1595"/>
      <c r="H2" s="1595"/>
      <c r="I2" s="1595"/>
      <c r="J2" s="1595"/>
      <c r="K2" s="1595"/>
    </row>
    <row r="3" spans="1:14" ht="21" thickBot="1">
      <c r="B3" s="1595" t="s">
        <v>135</v>
      </c>
      <c r="C3" s="1595"/>
      <c r="D3" s="1595"/>
      <c r="E3" s="1595"/>
      <c r="F3" s="1595"/>
      <c r="G3" s="1595"/>
      <c r="H3" s="1595"/>
      <c r="I3" s="1595"/>
      <c r="J3" s="1595"/>
      <c r="K3" s="1595"/>
    </row>
    <row r="4" spans="1:14" ht="13.8" thickTop="1">
      <c r="B4" s="888"/>
      <c r="C4" s="888"/>
      <c r="D4" s="888"/>
      <c r="E4" s="888"/>
      <c r="F4" s="889"/>
      <c r="G4" s="1609" t="str">
        <f>"Transferred from "&amp;TEXT('KEY INPUTS'!D34,"0")</f>
        <v>Transferred from 2019</v>
      </c>
      <c r="H4" s="1610"/>
      <c r="I4" s="889"/>
      <c r="J4" s="888"/>
      <c r="K4" s="865"/>
      <c r="L4" s="794"/>
    </row>
    <row r="5" spans="1:14">
      <c r="B5" s="1596" t="s">
        <v>805</v>
      </c>
      <c r="C5" s="1596"/>
      <c r="D5" s="1596"/>
      <c r="E5" s="1597"/>
      <c r="F5" s="891" t="s">
        <v>672</v>
      </c>
      <c r="G5" s="1611" t="s">
        <v>301</v>
      </c>
      <c r="H5" s="1612"/>
      <c r="I5" s="891" t="s">
        <v>804</v>
      </c>
      <c r="J5" s="1033" t="s">
        <v>280</v>
      </c>
      <c r="K5" s="866" t="s">
        <v>672</v>
      </c>
    </row>
    <row r="6" spans="1:14">
      <c r="B6" s="855"/>
      <c r="C6" s="855"/>
      <c r="D6" s="855"/>
      <c r="E6" s="855"/>
      <c r="F6" s="894" t="str">
        <f>'KEY INPUTS'!D47</f>
        <v>Jan. 1, 2019</v>
      </c>
      <c r="G6" s="891" t="s">
        <v>677</v>
      </c>
      <c r="H6" s="891" t="s">
        <v>299</v>
      </c>
      <c r="I6" s="891"/>
      <c r="J6" s="896"/>
      <c r="K6" s="867" t="str">
        <f>'KEY INPUTS'!D46</f>
        <v>Dec. 31, 2019</v>
      </c>
    </row>
    <row r="7" spans="1:14" ht="13.8" thickBot="1">
      <c r="B7" s="897"/>
      <c r="C7" s="897"/>
      <c r="D7" s="897"/>
      <c r="E7" s="897"/>
      <c r="F7" s="898"/>
      <c r="G7" s="899"/>
      <c r="H7" s="899" t="s">
        <v>300</v>
      </c>
      <c r="I7" s="898"/>
      <c r="J7" s="900"/>
      <c r="K7" s="868"/>
    </row>
    <row r="8" spans="1:14" ht="21" customHeight="1" thickTop="1">
      <c r="B8" s="885"/>
      <c r="C8" s="1034" t="s">
        <v>3547</v>
      </c>
      <c r="D8" s="885"/>
      <c r="E8" s="1034"/>
      <c r="F8" s="902">
        <f>+'12.1-Grants Unappropriated'!F27</f>
        <v>0</v>
      </c>
      <c r="G8" s="902">
        <f>+'12.1-Grants Unappropriated'!G27</f>
        <v>0</v>
      </c>
      <c r="H8" s="902">
        <f>+'12.1-Grants Unappropriated'!H27</f>
        <v>0</v>
      </c>
      <c r="I8" s="902">
        <f>+'12.1-Grants Unappropriated'!I27</f>
        <v>0</v>
      </c>
      <c r="J8" s="902">
        <f>+'12.1-Grants Unappropriated'!J27</f>
        <v>0</v>
      </c>
      <c r="K8" s="846">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7"/>
      <c r="D10" s="375"/>
      <c r="E10" s="795"/>
      <c r="F10" s="665"/>
      <c r="G10" s="665"/>
      <c r="H10" s="665"/>
      <c r="I10" s="665"/>
      <c r="J10" s="665"/>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6" t="s">
        <v>3613</v>
      </c>
      <c r="B15" s="566"/>
      <c r="C15" s="566"/>
      <c r="D15" s="566"/>
      <c r="E15" s="577"/>
      <c r="F15" s="374"/>
      <c r="G15" s="374"/>
      <c r="H15" s="374"/>
      <c r="I15" s="374"/>
      <c r="J15" s="374"/>
      <c r="K15" s="134">
        <f t="shared" si="0"/>
        <v>0</v>
      </c>
      <c r="L15" s="325"/>
    </row>
    <row r="16" spans="1:14" ht="21" customHeight="1">
      <c r="A16" s="1576"/>
      <c r="B16" s="566"/>
      <c r="C16" s="566"/>
      <c r="D16" s="566"/>
      <c r="E16" s="577"/>
      <c r="F16" s="374"/>
      <c r="G16" s="374"/>
      <c r="H16" s="374"/>
      <c r="I16" s="374"/>
      <c r="J16" s="374"/>
      <c r="K16" s="134">
        <f t="shared" si="0"/>
        <v>0</v>
      </c>
    </row>
    <row r="17" spans="1:12" ht="21" customHeight="1">
      <c r="A17" s="157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3546</v>
      </c>
      <c r="D27" s="27"/>
      <c r="E27" s="41"/>
      <c r="F27" s="99">
        <f>SUM(F8:F26)</f>
        <v>0</v>
      </c>
      <c r="G27" s="99">
        <f t="shared" ref="G27:K27" si="1">SUM(G8:G26)</f>
        <v>0</v>
      </c>
      <c r="H27" s="99">
        <f t="shared" si="1"/>
        <v>0</v>
      </c>
      <c r="I27" s="99">
        <f>SUM(I8:I26)</f>
        <v>0</v>
      </c>
      <c r="J27" s="99">
        <f t="shared" si="1"/>
        <v>0</v>
      </c>
      <c r="K27" s="136">
        <f t="shared" si="1"/>
        <v>0</v>
      </c>
      <c r="L27" s="711"/>
    </row>
    <row r="28" spans="1:12" ht="13.8"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48.44140625" style="322" customWidth="1"/>
    <col min="6" max="11" width="15.6640625" style="322" customWidth="1"/>
    <col min="12" max="12" width="10.5546875" style="322" bestFit="1" customWidth="1"/>
    <col min="13" max="16384" width="9.109375" style="322"/>
  </cols>
  <sheetData>
    <row r="1" spans="1:14">
      <c r="A1" s="324"/>
      <c r="B1" s="855"/>
      <c r="C1" s="855"/>
      <c r="D1" s="855"/>
      <c r="E1" s="855"/>
      <c r="F1" s="855"/>
      <c r="G1" s="855"/>
      <c r="H1" s="855"/>
      <c r="I1" s="855"/>
      <c r="J1" s="855"/>
      <c r="K1" s="855"/>
    </row>
    <row r="2" spans="1:14" ht="20.399999999999999">
      <c r="B2" s="1595" t="s">
        <v>305</v>
      </c>
      <c r="C2" s="1595"/>
      <c r="D2" s="1595"/>
      <c r="E2" s="1595"/>
      <c r="F2" s="1595"/>
      <c r="G2" s="1595"/>
      <c r="H2" s="1595"/>
      <c r="I2" s="1595"/>
      <c r="J2" s="1595"/>
      <c r="K2" s="1595"/>
    </row>
    <row r="3" spans="1:14" ht="21" thickBot="1">
      <c r="B3" s="1595" t="s">
        <v>135</v>
      </c>
      <c r="C3" s="1595"/>
      <c r="D3" s="1595"/>
      <c r="E3" s="1595"/>
      <c r="F3" s="1595"/>
      <c r="G3" s="1595"/>
      <c r="H3" s="1595"/>
      <c r="I3" s="1595"/>
      <c r="J3" s="1595"/>
      <c r="K3" s="1595"/>
    </row>
    <row r="4" spans="1:14" ht="13.8" thickTop="1">
      <c r="B4" s="888"/>
      <c r="C4" s="888"/>
      <c r="D4" s="888"/>
      <c r="E4" s="888"/>
      <c r="F4" s="889"/>
      <c r="G4" s="1609" t="str">
        <f>"Transferred from "&amp;TEXT('KEY INPUTS'!D34,"0")</f>
        <v>Transferred from 2019</v>
      </c>
      <c r="H4" s="1610"/>
      <c r="I4" s="889"/>
      <c r="J4" s="888"/>
      <c r="K4" s="865"/>
      <c r="L4" s="794"/>
    </row>
    <row r="5" spans="1:14">
      <c r="B5" s="1596" t="s">
        <v>805</v>
      </c>
      <c r="C5" s="1596"/>
      <c r="D5" s="1596"/>
      <c r="E5" s="1597"/>
      <c r="F5" s="891" t="s">
        <v>672</v>
      </c>
      <c r="G5" s="1611" t="s">
        <v>301</v>
      </c>
      <c r="H5" s="1612"/>
      <c r="I5" s="891" t="s">
        <v>804</v>
      </c>
      <c r="J5" s="1033" t="s">
        <v>280</v>
      </c>
      <c r="K5" s="866" t="s">
        <v>672</v>
      </c>
    </row>
    <row r="6" spans="1:14">
      <c r="B6" s="855"/>
      <c r="C6" s="855"/>
      <c r="D6" s="855"/>
      <c r="E6" s="855"/>
      <c r="F6" s="894" t="str">
        <f>'KEY INPUTS'!D47</f>
        <v>Jan. 1, 2019</v>
      </c>
      <c r="G6" s="891" t="s">
        <v>677</v>
      </c>
      <c r="H6" s="891" t="s">
        <v>299</v>
      </c>
      <c r="I6" s="891"/>
      <c r="J6" s="896"/>
      <c r="K6" s="867" t="str">
        <f>'KEY INPUTS'!D46</f>
        <v>Dec. 31, 2019</v>
      </c>
    </row>
    <row r="7" spans="1:14" ht="13.8" thickBot="1">
      <c r="B7" s="897"/>
      <c r="C7" s="897"/>
      <c r="D7" s="897"/>
      <c r="E7" s="897"/>
      <c r="F7" s="898"/>
      <c r="G7" s="899"/>
      <c r="H7" s="899" t="s">
        <v>300</v>
      </c>
      <c r="I7" s="898"/>
      <c r="J7" s="900"/>
      <c r="K7" s="868"/>
    </row>
    <row r="8" spans="1:14" ht="21" customHeight="1" thickTop="1">
      <c r="B8" s="885"/>
      <c r="C8" s="1034" t="s">
        <v>3547</v>
      </c>
      <c r="D8" s="885"/>
      <c r="E8" s="1034"/>
      <c r="F8" s="902">
        <f>+'12.2-Grants Unappropriated'!F27</f>
        <v>0</v>
      </c>
      <c r="G8" s="902">
        <f>+'12.2-Grants Unappropriated'!G27</f>
        <v>0</v>
      </c>
      <c r="H8" s="902">
        <f>+'12.2-Grants Unappropriated'!H27</f>
        <v>0</v>
      </c>
      <c r="I8" s="902">
        <f>+'12.2-Grants Unappropriated'!I27</f>
        <v>0</v>
      </c>
      <c r="J8" s="902">
        <f>+'12.2-Grants Unappropriated'!J27</f>
        <v>0</v>
      </c>
      <c r="K8" s="846">
        <f>+'12.2-Grants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7"/>
      <c r="D10" s="375"/>
      <c r="E10" s="795"/>
      <c r="F10" s="665"/>
      <c r="G10" s="665"/>
      <c r="H10" s="665"/>
      <c r="I10" s="665"/>
      <c r="J10" s="665"/>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576" t="s">
        <v>3614</v>
      </c>
      <c r="B15" s="566"/>
      <c r="C15" s="566"/>
      <c r="D15" s="566"/>
      <c r="E15" s="577"/>
      <c r="F15" s="374"/>
      <c r="G15" s="374"/>
      <c r="H15" s="374"/>
      <c r="I15" s="374"/>
      <c r="J15" s="374"/>
      <c r="K15" s="134">
        <f t="shared" si="0"/>
        <v>0</v>
      </c>
      <c r="L15" s="325"/>
    </row>
    <row r="16" spans="1:14" ht="21" customHeight="1">
      <c r="A16" s="1576"/>
      <c r="B16" s="566"/>
      <c r="C16" s="566"/>
      <c r="D16" s="566"/>
      <c r="E16" s="577"/>
      <c r="F16" s="374"/>
      <c r="G16" s="374"/>
      <c r="H16" s="374"/>
      <c r="I16" s="374"/>
      <c r="J16" s="374"/>
      <c r="K16" s="134">
        <f t="shared" si="0"/>
        <v>0</v>
      </c>
    </row>
    <row r="17" spans="1:12" ht="21" customHeight="1">
      <c r="A17" s="1576"/>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3572</v>
      </c>
      <c r="D27" s="27"/>
      <c r="E27" s="41"/>
      <c r="F27" s="99">
        <f>SUM(F8:F26)</f>
        <v>0</v>
      </c>
      <c r="G27" s="99">
        <f t="shared" ref="G27:K27" si="1">SUM(G8:G26)</f>
        <v>0</v>
      </c>
      <c r="H27" s="99">
        <f t="shared" si="1"/>
        <v>0</v>
      </c>
      <c r="I27" s="99">
        <f>SUM(I8:I26)</f>
        <v>0</v>
      </c>
      <c r="J27" s="99">
        <f t="shared" si="1"/>
        <v>0</v>
      </c>
      <c r="K27" s="136">
        <f t="shared" si="1"/>
        <v>0</v>
      </c>
      <c r="L27" s="711"/>
    </row>
    <row r="28" spans="1:12" ht="13.8"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B5:R51"/>
  <sheetViews>
    <sheetView workbookViewId="0">
      <selection activeCell="G36" sqref="G36"/>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2.88671875" bestFit="1" customWidth="1"/>
  </cols>
  <sheetData>
    <row r="5" spans="2:18" ht="22.8">
      <c r="B5" s="1548" t="s">
        <v>323</v>
      </c>
      <c r="C5" s="1548"/>
      <c r="D5" s="1548"/>
      <c r="E5" s="1548"/>
      <c r="F5" s="1548"/>
      <c r="G5" s="1548"/>
      <c r="H5" s="1548"/>
      <c r="I5" s="711"/>
    </row>
    <row r="6" spans="2:18" ht="13.8" thickBot="1"/>
    <row r="7" spans="2:18" ht="36" customHeight="1" thickTop="1" thickBot="1">
      <c r="B7" s="1552"/>
      <c r="C7" s="1552"/>
      <c r="D7" s="1552"/>
      <c r="E7" s="1552"/>
      <c r="F7" s="1553"/>
      <c r="G7" s="4" t="s">
        <v>125</v>
      </c>
      <c r="H7" s="3" t="s">
        <v>126</v>
      </c>
    </row>
    <row r="8" spans="2:18" ht="21" customHeight="1" thickTop="1">
      <c r="B8" s="322" t="str">
        <f>'KEY INPUTS'!D25</f>
        <v>Balance - January 1, 2019</v>
      </c>
      <c r="C8" s="322"/>
      <c r="D8" s="322"/>
      <c r="E8" s="322"/>
      <c r="F8" s="322"/>
      <c r="G8" s="166" t="s">
        <v>393</v>
      </c>
      <c r="H8" s="167" t="s">
        <v>858</v>
      </c>
    </row>
    <row r="9" spans="2:18" ht="21" customHeight="1">
      <c r="B9" s="323"/>
      <c r="C9" s="323" t="s">
        <v>324</v>
      </c>
      <c r="D9" s="323"/>
      <c r="E9" s="323"/>
      <c r="F9" s="49" t="s">
        <v>791</v>
      </c>
      <c r="G9" s="146" t="s">
        <v>393</v>
      </c>
      <c r="H9" s="770">
        <v>22036682</v>
      </c>
      <c r="I9" s="291"/>
    </row>
    <row r="10" spans="2:18" ht="11.25" customHeight="1">
      <c r="B10" s="7"/>
      <c r="C10" s="7" t="s">
        <v>325</v>
      </c>
      <c r="D10" s="7"/>
      <c r="E10" s="7"/>
      <c r="F10" s="52"/>
      <c r="G10" s="168"/>
      <c r="H10" s="971"/>
    </row>
    <row r="11" spans="2:18">
      <c r="B11" s="284"/>
      <c r="C11" s="284" t="str">
        <f>"(Not in excess of  50% of Levy - "&amp;TEXT('KEY INPUTS'!D35,"0")&amp;" - "&amp;TEXT('KEY INPUTS'!D34,"0")&amp;")"</f>
        <v>(Not in excess of  50% of Levy - 2018 - 2019)</v>
      </c>
      <c r="D11" s="284"/>
      <c r="E11" s="284"/>
      <c r="F11" s="53" t="s">
        <v>792</v>
      </c>
      <c r="G11" s="315" t="s">
        <v>393</v>
      </c>
      <c r="H11" s="940">
        <v>10642000</v>
      </c>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v>66687576</v>
      </c>
      <c r="I12" s="228"/>
      <c r="L12" s="762" t="s">
        <v>3776</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c r="M13" s="322"/>
      <c r="N13" s="322"/>
      <c r="O13" s="322"/>
      <c r="P13" s="322"/>
      <c r="Q13" s="322"/>
      <c r="R13" s="322"/>
    </row>
    <row r="14" spans="2:18" ht="21" customHeight="1">
      <c r="B14" s="323" t="s">
        <v>326</v>
      </c>
      <c r="C14" s="323"/>
      <c r="D14" s="323"/>
      <c r="E14" s="323"/>
      <c r="F14" s="49"/>
      <c r="G14" s="374">
        <v>66022470</v>
      </c>
      <c r="H14" s="264" t="s">
        <v>858</v>
      </c>
      <c r="M14" s="377"/>
      <c r="N14" s="322"/>
      <c r="O14" s="322"/>
      <c r="P14" s="322"/>
      <c r="Q14" s="322"/>
      <c r="R14" s="322"/>
    </row>
    <row r="15" spans="2:18" ht="21" customHeight="1">
      <c r="B15" s="323" t="str">
        <f>'KEY INPUTS'!D26</f>
        <v>Balance - December 31, 2019</v>
      </c>
      <c r="C15" s="323"/>
      <c r="D15" s="323"/>
      <c r="E15" s="323"/>
      <c r="F15" s="49"/>
      <c r="G15" s="310" t="s">
        <v>393</v>
      </c>
      <c r="H15" s="264" t="s">
        <v>858</v>
      </c>
      <c r="M15" s="322"/>
      <c r="N15" s="322"/>
      <c r="O15" s="322"/>
      <c r="P15" s="322"/>
      <c r="Q15" s="322"/>
      <c r="R15" s="322"/>
    </row>
    <row r="16" spans="2:18" ht="21" customHeight="1">
      <c r="B16" s="323"/>
      <c r="C16" s="323" t="s">
        <v>324</v>
      </c>
      <c r="D16" s="323"/>
      <c r="E16" s="323"/>
      <c r="F16" s="49" t="s">
        <v>793</v>
      </c>
      <c r="G16" s="247">
        <f>+H9+H11+H12+H13-G14-G18</f>
        <v>22701788</v>
      </c>
      <c r="H16" s="127" t="s">
        <v>858</v>
      </c>
      <c r="I16" s="744"/>
      <c r="M16" s="322"/>
      <c r="N16" s="322"/>
      <c r="O16" s="322"/>
      <c r="P16" s="322"/>
      <c r="Q16" s="322"/>
      <c r="R16" s="322"/>
    </row>
    <row r="17" spans="2:18" ht="11.25" customHeight="1">
      <c r="B17" s="7"/>
      <c r="C17" s="7" t="s">
        <v>325</v>
      </c>
      <c r="D17" s="7"/>
      <c r="E17" s="7"/>
      <c r="F17" s="52"/>
      <c r="G17" s="941"/>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72" t="s">
        <v>794</v>
      </c>
      <c r="G18" s="978">
        <v>10642000</v>
      </c>
      <c r="H18" s="128" t="s">
        <v>858</v>
      </c>
      <c r="I18" s="228"/>
      <c r="M18" s="322"/>
      <c r="N18" s="322"/>
      <c r="O18" s="322"/>
      <c r="P18" s="322"/>
      <c r="Q18" s="322"/>
      <c r="R18" s="322"/>
    </row>
    <row r="19" spans="2:18" ht="21" customHeight="1" thickBot="1">
      <c r="B19" s="43" t="s">
        <v>731</v>
      </c>
      <c r="C19" s="7"/>
      <c r="D19" s="7"/>
      <c r="E19" s="7"/>
      <c r="F19" s="7"/>
      <c r="G19" s="99">
        <f>SUM(G14:G18)</f>
        <v>99366258</v>
      </c>
      <c r="H19" s="80">
        <f>SUM(H8:H13)</f>
        <v>99366258</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48" t="s">
        <v>971</v>
      </c>
      <c r="C26" s="1548"/>
      <c r="D26" s="1548"/>
      <c r="E26" s="1548"/>
      <c r="F26" s="1548"/>
      <c r="G26" s="1548"/>
      <c r="H26" s="1548"/>
      <c r="M26" s="322"/>
      <c r="N26" s="322"/>
      <c r="O26" s="322"/>
      <c r="P26" s="322"/>
      <c r="Q26" s="322"/>
      <c r="R26" s="322"/>
    </row>
    <row r="27" spans="2:18" ht="21" customHeight="1" thickBot="1">
      <c r="B27" s="322"/>
      <c r="C27" s="322"/>
      <c r="D27" s="322"/>
      <c r="E27" s="322"/>
      <c r="F27" s="322"/>
      <c r="G27" s="322"/>
      <c r="H27" s="322"/>
    </row>
    <row r="28" spans="2:18" ht="30" customHeight="1" thickTop="1" thickBot="1">
      <c r="B28" s="1552"/>
      <c r="C28" s="1552"/>
      <c r="D28" s="1552"/>
      <c r="E28" s="1552"/>
      <c r="F28" s="1553"/>
      <c r="G28" s="4" t="s">
        <v>125</v>
      </c>
      <c r="H28" s="968" t="s">
        <v>126</v>
      </c>
    </row>
    <row r="29" spans="2:18" ht="21" customHeight="1" thickTop="1">
      <c r="B29" t="str">
        <f>B8</f>
        <v>Balance - January 1, 2019</v>
      </c>
      <c r="F29" s="38" t="s">
        <v>972</v>
      </c>
      <c r="G29" s="166" t="s">
        <v>393</v>
      </c>
      <c r="H29" s="582"/>
    </row>
    <row r="30" spans="2:18" ht="21" customHeight="1">
      <c r="B30" s="566"/>
      <c r="C30" s="566"/>
      <c r="D30" s="566"/>
      <c r="E30" s="566"/>
      <c r="F30" s="823"/>
      <c r="G30" s="684"/>
      <c r="H30" s="582"/>
    </row>
    <row r="31" spans="2:18" ht="21" customHeight="1">
      <c r="B31" s="281" t="str">
        <f>TEXT('KEY INPUTS'!D34,"0")&amp;" Levy"</f>
        <v>2019 Levy</v>
      </c>
      <c r="C31" s="5"/>
      <c r="D31" s="5"/>
      <c r="E31" s="5"/>
      <c r="F31" s="49" t="s">
        <v>416</v>
      </c>
      <c r="G31" s="146" t="s">
        <v>393</v>
      </c>
      <c r="H31" s="582">
        <v>459944.42</v>
      </c>
    </row>
    <row r="32" spans="2:18" ht="21" customHeight="1">
      <c r="B32" s="566"/>
      <c r="C32" s="566"/>
      <c r="D32" s="566"/>
      <c r="E32" s="566"/>
      <c r="F32" s="823"/>
      <c r="G32" s="684"/>
      <c r="H32" s="582"/>
    </row>
    <row r="33" spans="2:8" ht="21" customHeight="1">
      <c r="B33" s="323" t="s">
        <v>973</v>
      </c>
      <c r="C33" s="323"/>
      <c r="D33" s="323"/>
      <c r="E33" s="323"/>
      <c r="F33" s="49"/>
      <c r="G33" s="146" t="s">
        <v>393</v>
      </c>
      <c r="H33" s="582"/>
    </row>
    <row r="34" spans="2:8" ht="21" customHeight="1">
      <c r="B34" s="566"/>
      <c r="C34" s="566"/>
      <c r="D34" s="566"/>
      <c r="E34" s="566"/>
      <c r="F34" s="823"/>
      <c r="G34" s="575"/>
      <c r="H34" s="973"/>
    </row>
    <row r="35" spans="2:8" ht="21" customHeight="1">
      <c r="B35" s="5" t="s">
        <v>906</v>
      </c>
      <c r="C35" s="5"/>
      <c r="D35" s="5"/>
      <c r="E35" s="5"/>
      <c r="F35" s="49"/>
      <c r="G35" s="575">
        <f>H31</f>
        <v>459944.42</v>
      </c>
      <c r="H35" s="364" t="s">
        <v>858</v>
      </c>
    </row>
    <row r="36" spans="2:8" ht="21" customHeight="1">
      <c r="B36" s="566"/>
      <c r="C36" s="566"/>
      <c r="D36" s="566"/>
      <c r="E36" s="566"/>
      <c r="F36" s="823"/>
      <c r="G36" s="575"/>
      <c r="H36" s="973"/>
    </row>
    <row r="37" spans="2:8" ht="21" customHeight="1">
      <c r="B37" s="7" t="str">
        <f>B15</f>
        <v>Balance - December 31, 2019</v>
      </c>
      <c r="C37" s="7"/>
      <c r="D37" s="7"/>
      <c r="E37" s="7"/>
      <c r="F37" s="52" t="s">
        <v>974</v>
      </c>
      <c r="G37" s="575"/>
      <c r="H37" s="364" t="s">
        <v>858</v>
      </c>
    </row>
    <row r="38" spans="2:8" ht="21" customHeight="1" thickBot="1">
      <c r="B38" s="43" t="s">
        <v>392</v>
      </c>
      <c r="C38" s="7"/>
      <c r="D38" s="7"/>
      <c r="E38" s="7"/>
      <c r="F38" s="7"/>
      <c r="G38" s="99">
        <f>SUM(G30:G37)</f>
        <v>459944.42</v>
      </c>
      <c r="H38" s="80">
        <f>SUM(H29:H36)</f>
        <v>459944.42</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3.8">
      <c r="B51" s="1507" t="s">
        <v>327</v>
      </c>
      <c r="C51" s="1507"/>
      <c r="D51" s="1507"/>
      <c r="E51" s="1507"/>
      <c r="F51" s="1507"/>
      <c r="G51" s="1507"/>
      <c r="H51" s="1507"/>
    </row>
  </sheetData>
  <sheetProtection algorithmName="SHA-512" hashValue="/4FZmday8DOV2pAE1ECyFfRgI5u/sl8wXJLQjZxSiq4KklUi4CU96AmR4b3e9YHSLKeiaRyeeUj2w0Lr6TSDdg==" saltValue="7OM9wkVVXgG/rmyAvE6LCA==" spinCount="100000" sheet="1" objects="1" scenarios="1"/>
  <mergeCells count="5">
    <mergeCell ref="B7:F7"/>
    <mergeCell ref="B51:H51"/>
    <mergeCell ref="B5:H5"/>
    <mergeCell ref="B26:H26"/>
    <mergeCell ref="B28:F28"/>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B5:P52"/>
  <sheetViews>
    <sheetView topLeftCell="A22" zoomScaleNormal="100" workbookViewId="0">
      <selection activeCell="B1" sqref="B1"/>
    </sheetView>
  </sheetViews>
  <sheetFormatPr defaultRowHeight="13.2"/>
  <cols>
    <col min="1" max="1" width="4.6640625" customWidth="1"/>
    <col min="2" max="2" width="4.88671875" customWidth="1"/>
    <col min="3" max="4" width="4.6640625" customWidth="1"/>
    <col min="5" max="5" width="33.6640625" customWidth="1"/>
    <col min="6" max="6" width="15.6640625" customWidth="1"/>
    <col min="7" max="8" width="16.6640625" customWidth="1"/>
    <col min="9" max="9" width="13.88671875" bestFit="1" customWidth="1"/>
    <col min="10" max="10" width="12.88671875" bestFit="1" customWidth="1"/>
    <col min="11" max="11" width="10.33203125" bestFit="1" customWidth="1"/>
  </cols>
  <sheetData>
    <row r="5" spans="2:16" ht="22.8">
      <c r="B5" s="1548" t="s">
        <v>859</v>
      </c>
      <c r="C5" s="1548"/>
      <c r="D5" s="1548"/>
      <c r="E5" s="1548"/>
      <c r="F5" s="1548"/>
      <c r="G5" s="1548"/>
      <c r="H5" s="1548"/>
      <c r="I5" s="711"/>
    </row>
    <row r="6" spans="2:16" ht="13.5" customHeight="1">
      <c r="B6" s="1614" t="s">
        <v>860</v>
      </c>
      <c r="C6" s="1614"/>
      <c r="D6" s="1614"/>
      <c r="E6" s="1614"/>
      <c r="F6" s="1614"/>
      <c r="G6" s="1614"/>
      <c r="H6" s="1614"/>
    </row>
    <row r="7" spans="2:16" ht="13.8" thickBot="1"/>
    <row r="8" spans="2:16" ht="36" customHeight="1" thickTop="1" thickBot="1">
      <c r="B8" s="1552"/>
      <c r="C8" s="1552"/>
      <c r="D8" s="1552"/>
      <c r="E8" s="1552"/>
      <c r="F8" s="1553"/>
      <c r="G8" s="4" t="s">
        <v>125</v>
      </c>
      <c r="H8" s="3" t="s">
        <v>126</v>
      </c>
    </row>
    <row r="9" spans="2:16" ht="21" customHeight="1" thickTop="1">
      <c r="B9" s="322" t="str">
        <f>'13-Other Taxes'!B8</f>
        <v>Balance - January 1, 2019</v>
      </c>
      <c r="C9" s="322"/>
      <c r="D9" s="322"/>
      <c r="E9" s="322"/>
      <c r="F9" s="322"/>
      <c r="G9" s="166" t="s">
        <v>393</v>
      </c>
      <c r="H9" s="167" t="s">
        <v>858</v>
      </c>
    </row>
    <row r="10" spans="2:16" ht="21" customHeight="1">
      <c r="B10" s="323"/>
      <c r="C10" s="323" t="s">
        <v>324</v>
      </c>
      <c r="D10" s="323"/>
      <c r="E10" s="323"/>
      <c r="F10" s="49" t="s">
        <v>795</v>
      </c>
      <c r="G10" s="146" t="s">
        <v>393</v>
      </c>
      <c r="H10" s="578"/>
      <c r="K10" s="322"/>
      <c r="L10" s="322"/>
      <c r="M10" s="322"/>
      <c r="N10" s="322"/>
      <c r="O10" s="322"/>
      <c r="P10" s="322"/>
    </row>
    <row r="11" spans="2:16" ht="11.25" customHeight="1">
      <c r="B11" s="7"/>
      <c r="C11" s="7" t="s">
        <v>325</v>
      </c>
      <c r="D11" s="7"/>
      <c r="E11" s="7"/>
      <c r="F11" s="52"/>
      <c r="G11" s="168"/>
      <c r="H11" s="971"/>
      <c r="K11" s="322"/>
      <c r="L11" s="322"/>
      <c r="M11" s="322"/>
      <c r="N11" s="322"/>
      <c r="O11" s="322"/>
      <c r="P11" s="322"/>
    </row>
    <row r="12" spans="2:16">
      <c r="B12" s="284"/>
      <c r="C12" s="284" t="str">
        <f>'13-Other Taxes'!C11</f>
        <v>(Not in excess of  50% of Levy - 2018 - 2019)</v>
      </c>
      <c r="D12" s="284"/>
      <c r="E12" s="284"/>
      <c r="F12" s="53" t="s">
        <v>796</v>
      </c>
      <c r="G12" s="158" t="s">
        <v>393</v>
      </c>
      <c r="H12" s="940"/>
      <c r="K12" s="377"/>
      <c r="L12" s="322"/>
      <c r="M12" s="322"/>
      <c r="N12" s="322"/>
      <c r="O12" s="322"/>
      <c r="P12" s="322"/>
    </row>
    <row r="13" spans="2:16" ht="21" customHeight="1">
      <c r="B13" s="323" t="str">
        <f>'13-Other Taxes'!B12</f>
        <v>Levy School Year July 1, 2019 - June 30, 2020</v>
      </c>
      <c r="C13" s="323"/>
      <c r="D13" s="323"/>
      <c r="E13" s="323"/>
      <c r="F13" s="49"/>
      <c r="G13" s="146" t="s">
        <v>393</v>
      </c>
      <c r="H13" s="578"/>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62" t="s">
        <v>3776</v>
      </c>
      <c r="M14" s="322"/>
      <c r="N14" s="322"/>
      <c r="O14" s="322"/>
      <c r="P14" s="322"/>
    </row>
    <row r="15" spans="2:16" ht="21" customHeight="1">
      <c r="B15" s="323" t="s">
        <v>326</v>
      </c>
      <c r="C15" s="323"/>
      <c r="D15" s="323"/>
      <c r="E15" s="323"/>
      <c r="F15" s="49"/>
      <c r="G15" s="374"/>
      <c r="H15" s="127" t="s">
        <v>858</v>
      </c>
      <c r="K15" s="322"/>
      <c r="L15" s="322"/>
      <c r="M15" s="322"/>
      <c r="N15" s="322"/>
      <c r="O15" s="322"/>
      <c r="P15" s="322"/>
    </row>
    <row r="16" spans="2:16" ht="21" customHeight="1">
      <c r="B16" s="323" t="str">
        <f>'13-Other Taxes'!B15</f>
        <v>Balance - December 31, 2019</v>
      </c>
      <c r="C16" s="323"/>
      <c r="D16" s="323"/>
      <c r="E16" s="323"/>
      <c r="F16" s="49"/>
      <c r="G16" s="975" t="s">
        <v>393</v>
      </c>
      <c r="H16" s="127" t="s">
        <v>858</v>
      </c>
      <c r="K16" s="322"/>
      <c r="L16" s="322"/>
      <c r="M16" s="322"/>
      <c r="N16" s="322"/>
      <c r="O16" s="322"/>
      <c r="P16" s="322"/>
    </row>
    <row r="17" spans="2:16" ht="21" customHeight="1">
      <c r="B17" s="323"/>
      <c r="C17" s="323" t="s">
        <v>324</v>
      </c>
      <c r="D17" s="323"/>
      <c r="E17" s="323"/>
      <c r="F17" s="49" t="s">
        <v>728</v>
      </c>
      <c r="G17" s="844">
        <f>+H10+H12+H13+H14-G15-G19</f>
        <v>0</v>
      </c>
      <c r="H17" s="127" t="s">
        <v>858</v>
      </c>
      <c r="K17" s="322"/>
      <c r="L17" s="322"/>
      <c r="M17" s="322"/>
      <c r="N17" s="322"/>
      <c r="O17" s="322"/>
      <c r="P17" s="322"/>
    </row>
    <row r="18" spans="2:16" ht="11.25" customHeight="1">
      <c r="B18" s="7"/>
      <c r="C18" s="7" t="s">
        <v>325</v>
      </c>
      <c r="D18" s="7"/>
      <c r="E18" s="7"/>
      <c r="F18" s="52"/>
      <c r="G18" s="976"/>
      <c r="H18" s="73"/>
      <c r="K18" s="322"/>
      <c r="L18" s="322"/>
      <c r="M18" s="322"/>
      <c r="N18" s="322"/>
      <c r="O18" s="322"/>
      <c r="P18" s="322"/>
    </row>
    <row r="19" spans="2:16" ht="12.75" customHeight="1">
      <c r="B19" s="284"/>
      <c r="C19" s="284" t="str">
        <f>'13-Other Taxes'!C18</f>
        <v>(Not in excess of 50% of Levy - 2019 - 2020)</v>
      </c>
      <c r="D19" s="284"/>
      <c r="E19" s="284"/>
      <c r="F19" s="53" t="s">
        <v>729</v>
      </c>
      <c r="G19" s="978"/>
      <c r="H19" s="128" t="s">
        <v>858</v>
      </c>
      <c r="K19" s="322"/>
      <c r="L19" s="322"/>
      <c r="M19" s="322"/>
      <c r="N19" s="322"/>
      <c r="O19" s="322"/>
      <c r="P19" s="322"/>
    </row>
    <row r="20" spans="2:16" ht="21" customHeight="1" thickBot="1">
      <c r="B20" s="44" t="s">
        <v>392</v>
      </c>
      <c r="C20" s="7"/>
      <c r="D20" s="7"/>
      <c r="E20" s="7"/>
      <c r="F20" s="7"/>
      <c r="G20" s="99">
        <f>SUM(G15:G19)</f>
        <v>0</v>
      </c>
      <c r="H20" s="80">
        <f>SUM(H9:H19)</f>
        <v>0</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48" t="s">
        <v>861</v>
      </c>
      <c r="C27" s="1548"/>
      <c r="D27" s="1548"/>
      <c r="E27" s="1548"/>
      <c r="F27" s="1548"/>
      <c r="G27" s="1548"/>
      <c r="H27" s="1548"/>
    </row>
    <row r="28" spans="2:16" ht="21" customHeight="1" thickBot="1"/>
    <row r="29" spans="2:16" ht="30" customHeight="1" thickTop="1" thickBot="1">
      <c r="B29" s="1552"/>
      <c r="C29" s="1552"/>
      <c r="D29" s="1552"/>
      <c r="E29" s="1552"/>
      <c r="F29" s="1553"/>
      <c r="G29" s="4" t="s">
        <v>125</v>
      </c>
      <c r="H29" s="3" t="s">
        <v>126</v>
      </c>
    </row>
    <row r="30" spans="2:16" ht="21" customHeight="1" thickTop="1">
      <c r="B30" s="322" t="str">
        <f>B9</f>
        <v>Balance - January 1, 2019</v>
      </c>
      <c r="C30" s="322"/>
      <c r="D30" s="322"/>
      <c r="E30" s="322"/>
      <c r="F30" s="322"/>
      <c r="G30" s="166" t="s">
        <v>393</v>
      </c>
      <c r="H30" s="167" t="s">
        <v>858</v>
      </c>
    </row>
    <row r="31" spans="2:16" ht="21" customHeight="1">
      <c r="B31" s="323"/>
      <c r="C31" s="323" t="s">
        <v>324</v>
      </c>
      <c r="D31" s="323"/>
      <c r="E31" s="323"/>
      <c r="F31" s="49" t="s">
        <v>730</v>
      </c>
      <c r="G31" s="146" t="s">
        <v>393</v>
      </c>
      <c r="H31" s="578"/>
    </row>
    <row r="32" spans="2:16" ht="11.25" customHeight="1">
      <c r="B32" s="7"/>
      <c r="C32" s="7" t="s">
        <v>325</v>
      </c>
      <c r="D32" s="7"/>
      <c r="E32" s="7"/>
      <c r="F32" s="52"/>
      <c r="G32" s="316"/>
      <c r="H32" s="971"/>
    </row>
    <row r="33" spans="2:12" ht="12.75" customHeight="1">
      <c r="B33" s="284"/>
      <c r="C33" s="284" t="str">
        <f>C12</f>
        <v>(Not in excess of  50% of Levy - 2018 - 2019)</v>
      </c>
      <c r="D33" s="284"/>
      <c r="E33" s="284"/>
      <c r="F33" s="53" t="s">
        <v>208</v>
      </c>
      <c r="G33" s="315" t="s">
        <v>393</v>
      </c>
      <c r="H33" s="940"/>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c r="L35" s="762" t="s">
        <v>3776</v>
      </c>
    </row>
    <row r="36" spans="2:12" ht="21" customHeight="1">
      <c r="B36" s="323" t="s">
        <v>326</v>
      </c>
      <c r="C36" s="323"/>
      <c r="D36" s="323"/>
      <c r="E36" s="323"/>
      <c r="F36" s="49"/>
      <c r="G36" s="374"/>
      <c r="H36" s="264" t="s">
        <v>858</v>
      </c>
    </row>
    <row r="37" spans="2:12" ht="21" customHeight="1">
      <c r="B37" s="323" t="str">
        <f>B16</f>
        <v>Balance - December 31, 2019</v>
      </c>
      <c r="C37" s="323"/>
      <c r="D37" s="323"/>
      <c r="E37" s="323"/>
      <c r="F37" s="49"/>
      <c r="G37" s="310" t="s">
        <v>393</v>
      </c>
      <c r="H37" s="264" t="s">
        <v>858</v>
      </c>
    </row>
    <row r="38" spans="2:12" ht="21" customHeight="1">
      <c r="B38" s="323"/>
      <c r="C38" s="323" t="s">
        <v>324</v>
      </c>
      <c r="D38" s="323"/>
      <c r="E38" s="323"/>
      <c r="F38" s="49" t="s">
        <v>209</v>
      </c>
      <c r="G38" s="977">
        <f>+H31+H33+H34+H35-G36-G40</f>
        <v>0</v>
      </c>
      <c r="H38" s="127" t="s">
        <v>858</v>
      </c>
    </row>
    <row r="39" spans="2:12" ht="11.25" customHeight="1">
      <c r="B39" s="7"/>
      <c r="C39" s="7" t="s">
        <v>325</v>
      </c>
      <c r="D39" s="7"/>
      <c r="E39" s="7"/>
      <c r="F39" s="52"/>
      <c r="G39" s="976"/>
      <c r="H39" s="169"/>
    </row>
    <row r="40" spans="2:12" ht="12.75" customHeight="1">
      <c r="B40" s="284"/>
      <c r="C40" s="284" t="str">
        <f>C19</f>
        <v>(Not in excess of 50% of Levy - 2019 - 2020)</v>
      </c>
      <c r="D40" s="284"/>
      <c r="E40" s="284"/>
      <c r="F40" s="53" t="s">
        <v>210</v>
      </c>
      <c r="G40" s="978"/>
      <c r="H40" s="128" t="s">
        <v>858</v>
      </c>
    </row>
    <row r="41" spans="2:12" ht="21" customHeight="1" thickBot="1">
      <c r="B41" s="43" t="s">
        <v>392</v>
      </c>
      <c r="C41" s="7"/>
      <c r="D41" s="7"/>
      <c r="E41" s="7"/>
      <c r="F41" s="7"/>
      <c r="G41" s="99">
        <f>SUM(G34:G40)</f>
        <v>0</v>
      </c>
      <c r="H41" s="80">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3.8">
      <c r="B52" s="1507" t="s">
        <v>862</v>
      </c>
      <c r="C52" s="1507"/>
      <c r="D52" s="1507"/>
      <c r="E52" s="1507"/>
      <c r="F52" s="1507"/>
      <c r="G52" s="1507"/>
      <c r="H52" s="1507"/>
    </row>
  </sheetData>
  <sheetProtection algorithmName="SHA-512" hashValue="7Fe2MGEOx0yLIldnytsoWgqj07l2RnZaRIpgUDbTAcN5q945QcVD+fjAtkufYcPxyzZbhG+CLFPMMmrL0V8tbA==" saltValue="W5yTLBj8hYznQiw1SSdyqg=="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B3:S47"/>
  <sheetViews>
    <sheetView workbookViewId="0">
      <selection activeCell="I17" sqref="I17"/>
    </sheetView>
  </sheetViews>
  <sheetFormatPr defaultRowHeight="13.2"/>
  <cols>
    <col min="1" max="1" width="4.6640625" customWidth="1"/>
    <col min="2" max="2" width="4.88671875" customWidth="1"/>
    <col min="3" max="6" width="4.6640625" customWidth="1"/>
    <col min="7" max="7" width="23.6640625" customWidth="1"/>
    <col min="8" max="8" width="15.6640625" customWidth="1"/>
    <col min="9" max="10" width="16.6640625" customWidth="1"/>
    <col min="11" max="11" width="10.109375" bestFit="1" customWidth="1"/>
  </cols>
  <sheetData>
    <row r="3" spans="2:19" ht="22.8">
      <c r="B3" s="1548" t="s">
        <v>202</v>
      </c>
      <c r="C3" s="1548"/>
      <c r="D3" s="1548"/>
      <c r="E3" s="1548"/>
      <c r="F3" s="1548"/>
      <c r="G3" s="1548"/>
      <c r="H3" s="1548"/>
      <c r="I3" s="1548"/>
      <c r="J3" s="1548"/>
      <c r="K3" s="711"/>
    </row>
    <row r="4" spans="2:19" ht="13.8" thickBot="1"/>
    <row r="5" spans="2:19" ht="36" customHeight="1" thickTop="1" thickBot="1">
      <c r="B5" s="1552"/>
      <c r="C5" s="1552"/>
      <c r="D5" s="1552"/>
      <c r="E5" s="1552"/>
      <c r="F5" s="1552"/>
      <c r="G5" s="1552"/>
      <c r="H5" s="1553"/>
      <c r="I5" s="4" t="s">
        <v>125</v>
      </c>
      <c r="J5" s="3" t="s">
        <v>126</v>
      </c>
    </row>
    <row r="6" spans="2:19" ht="21" customHeight="1" thickTop="1">
      <c r="B6" t="str">
        <f>'KEY INPUTS'!D25</f>
        <v>Balance - January 1, 2019</v>
      </c>
      <c r="I6" s="166" t="s">
        <v>393</v>
      </c>
      <c r="J6" s="167" t="s">
        <v>858</v>
      </c>
    </row>
    <row r="7" spans="2:19" ht="21" customHeight="1">
      <c r="B7" s="5"/>
      <c r="C7" s="5" t="s">
        <v>864</v>
      </c>
      <c r="D7" s="5"/>
      <c r="E7" s="5"/>
      <c r="F7" s="5"/>
      <c r="G7" s="5"/>
      <c r="H7" s="49" t="s">
        <v>876</v>
      </c>
      <c r="I7" s="146" t="s">
        <v>393</v>
      </c>
      <c r="J7" s="578"/>
    </row>
    <row r="8" spans="2:19" ht="21" customHeight="1">
      <c r="B8" s="5"/>
      <c r="C8" s="5" t="s">
        <v>865</v>
      </c>
      <c r="D8" s="5"/>
      <c r="E8" s="5"/>
      <c r="F8" s="5"/>
      <c r="G8" s="5"/>
      <c r="H8" s="49" t="s">
        <v>877</v>
      </c>
      <c r="I8" s="146" t="s">
        <v>393</v>
      </c>
      <c r="J8" s="578">
        <v>18189.259999999998</v>
      </c>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1145</v>
      </c>
      <c r="E10" s="5"/>
      <c r="F10" s="5"/>
      <c r="G10" s="5"/>
      <c r="H10" s="49"/>
      <c r="I10" s="310" t="s">
        <v>393</v>
      </c>
      <c r="J10" s="264" t="s">
        <v>858</v>
      </c>
      <c r="N10" s="322"/>
      <c r="O10" s="322"/>
      <c r="P10" s="322"/>
      <c r="Q10" s="322"/>
      <c r="R10" s="322"/>
      <c r="S10" s="322"/>
    </row>
    <row r="11" spans="2:19" ht="21" customHeight="1">
      <c r="B11" s="5"/>
      <c r="C11" s="5" t="s">
        <v>866</v>
      </c>
      <c r="D11" s="5"/>
      <c r="E11" s="5"/>
      <c r="F11" s="5"/>
      <c r="G11" s="5"/>
      <c r="H11" s="49" t="s">
        <v>878</v>
      </c>
      <c r="I11" s="310" t="s">
        <v>393</v>
      </c>
      <c r="J11" s="578">
        <v>17260982.640000001</v>
      </c>
      <c r="N11" s="377"/>
      <c r="O11" s="322"/>
      <c r="P11" s="322"/>
      <c r="Q11" s="322"/>
      <c r="R11" s="322"/>
      <c r="S11" s="322"/>
    </row>
    <row r="12" spans="2:19" ht="21" customHeight="1">
      <c r="B12" s="5"/>
      <c r="C12" s="5" t="s">
        <v>867</v>
      </c>
      <c r="D12" s="5"/>
      <c r="E12" s="5"/>
      <c r="F12" s="5"/>
      <c r="G12" s="5"/>
      <c r="H12" s="49" t="s">
        <v>879</v>
      </c>
      <c r="I12" s="310" t="s">
        <v>393</v>
      </c>
      <c r="J12" s="578"/>
      <c r="N12" s="322"/>
      <c r="O12" s="322"/>
      <c r="P12" s="322"/>
      <c r="Q12" s="322"/>
      <c r="R12" s="322"/>
      <c r="S12" s="322"/>
    </row>
    <row r="13" spans="2:19" ht="21" customHeight="1">
      <c r="B13" s="5"/>
      <c r="C13" s="5" t="s">
        <v>868</v>
      </c>
      <c r="D13" s="5"/>
      <c r="E13" s="5"/>
      <c r="F13" s="5"/>
      <c r="G13" s="5"/>
      <c r="H13" s="49"/>
      <c r="I13" s="310" t="s">
        <v>393</v>
      </c>
      <c r="J13" s="578"/>
      <c r="N13" s="322"/>
      <c r="O13" s="322"/>
      <c r="P13" s="322"/>
      <c r="Q13" s="322"/>
      <c r="R13" s="322"/>
      <c r="S13" s="322"/>
    </row>
    <row r="14" spans="2:19" ht="21" customHeight="1">
      <c r="B14" s="5"/>
      <c r="C14" s="5" t="s">
        <v>869</v>
      </c>
      <c r="D14" s="5"/>
      <c r="E14" s="5"/>
      <c r="F14" s="5"/>
      <c r="G14" s="5"/>
      <c r="H14" s="49"/>
      <c r="I14" s="310" t="s">
        <v>393</v>
      </c>
      <c r="J14" s="578">
        <v>1449343.15</v>
      </c>
      <c r="N14" s="322"/>
      <c r="O14" s="322"/>
      <c r="P14" s="322"/>
      <c r="Q14" s="322"/>
      <c r="R14" s="322"/>
      <c r="S14" s="322"/>
    </row>
    <row r="15" spans="2:19" ht="21" customHeight="1">
      <c r="B15" s="5"/>
      <c r="C15" s="5" t="s">
        <v>865</v>
      </c>
      <c r="D15" s="5"/>
      <c r="E15" s="5"/>
      <c r="F15" s="5"/>
      <c r="G15" s="5"/>
      <c r="H15" s="49" t="s">
        <v>880</v>
      </c>
      <c r="I15" s="310" t="s">
        <v>393</v>
      </c>
      <c r="J15" s="1506">
        <v>29097.51</v>
      </c>
      <c r="N15" s="322"/>
      <c r="O15" s="322"/>
      <c r="P15" s="322"/>
      <c r="Q15" s="322"/>
      <c r="R15" s="322"/>
      <c r="S15" s="322"/>
    </row>
    <row r="16" spans="2:19" ht="21" customHeight="1">
      <c r="B16" s="5" t="s">
        <v>326</v>
      </c>
      <c r="C16" s="5"/>
      <c r="D16" s="5"/>
      <c r="E16" s="5"/>
      <c r="F16" s="5"/>
      <c r="G16" s="5"/>
      <c r="H16" s="5"/>
      <c r="I16" s="374">
        <v>18728515.050000001</v>
      </c>
      <c r="J16" s="264" t="s">
        <v>858</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858</v>
      </c>
      <c r="N17" s="322"/>
      <c r="O17" s="322"/>
      <c r="P17" s="322"/>
      <c r="Q17" s="322"/>
      <c r="R17" s="322"/>
      <c r="S17" s="322"/>
    </row>
    <row r="18" spans="2:19" ht="21" customHeight="1">
      <c r="B18" s="5"/>
      <c r="C18" s="5" t="s">
        <v>864</v>
      </c>
      <c r="D18" s="5"/>
      <c r="E18" s="5"/>
      <c r="F18" s="5"/>
      <c r="G18" s="5"/>
      <c r="H18" s="5"/>
      <c r="I18" s="374"/>
      <c r="J18" s="127" t="s">
        <v>858</v>
      </c>
      <c r="N18" s="322"/>
      <c r="O18" s="322"/>
      <c r="P18" s="322"/>
      <c r="Q18" s="322"/>
      <c r="R18" s="322"/>
      <c r="S18" s="322"/>
    </row>
    <row r="19" spans="2:19" ht="21" customHeight="1" thickBot="1">
      <c r="B19" s="5"/>
      <c r="C19" s="5" t="s">
        <v>865</v>
      </c>
      <c r="D19" s="5"/>
      <c r="E19" s="5"/>
      <c r="F19" s="5"/>
      <c r="G19" s="5"/>
      <c r="H19" s="5"/>
      <c r="I19" s="76">
        <f>+J7+J8+J11+J12+J13+J14+J15-I16-I18</f>
        <v>29097.510000001639</v>
      </c>
      <c r="J19" s="170" t="s">
        <v>858</v>
      </c>
      <c r="K19" s="228"/>
      <c r="N19" s="322"/>
      <c r="O19" s="322"/>
      <c r="P19" s="322"/>
      <c r="Q19" s="322"/>
      <c r="R19" s="322"/>
      <c r="S19" s="322"/>
    </row>
    <row r="20" spans="2:19" ht="21" customHeight="1" thickBot="1">
      <c r="B20" s="44"/>
      <c r="C20" s="7"/>
      <c r="D20" s="7"/>
      <c r="E20" s="7"/>
      <c r="F20" s="7"/>
      <c r="G20" s="7"/>
      <c r="H20" s="7"/>
      <c r="I20" s="79">
        <f>SUM(I6:I19)</f>
        <v>18757612.560000002</v>
      </c>
      <c r="J20" s="78">
        <f>SUM(J6:J19)</f>
        <v>18757612.560000002</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48" t="s">
        <v>863</v>
      </c>
      <c r="C24" s="1548"/>
      <c r="D24" s="1548"/>
      <c r="E24" s="1548"/>
      <c r="F24" s="1548"/>
      <c r="G24" s="1548"/>
      <c r="H24" s="1548"/>
      <c r="I24" s="1548"/>
      <c r="J24" s="1548"/>
    </row>
    <row r="25" spans="2:19" ht="12.75" customHeight="1" thickBot="1"/>
    <row r="26" spans="2:19" ht="33" customHeight="1" thickTop="1" thickBot="1">
      <c r="B26" s="1552"/>
      <c r="C26" s="1552"/>
      <c r="D26" s="1552"/>
      <c r="E26" s="1552"/>
      <c r="F26" s="1552"/>
      <c r="G26" s="1552"/>
      <c r="H26" s="1553"/>
      <c r="I26" s="4" t="s">
        <v>125</v>
      </c>
      <c r="J26" s="3" t="s">
        <v>126</v>
      </c>
    </row>
    <row r="27" spans="2:19" ht="21" customHeight="1" thickTop="1">
      <c r="B27" t="str">
        <f>B6</f>
        <v>Balance - January 1, 2019</v>
      </c>
      <c r="H27" s="38" t="s">
        <v>881</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9" t="s">
        <v>858</v>
      </c>
    </row>
    <row r="29" spans="2:19" ht="21" customHeight="1">
      <c r="B29" s="5"/>
      <c r="C29" s="380" t="s">
        <v>870</v>
      </c>
      <c r="D29" s="380"/>
      <c r="E29" s="380"/>
      <c r="F29" s="380"/>
      <c r="G29" s="583" t="s">
        <v>410</v>
      </c>
      <c r="H29" s="374"/>
      <c r="I29" s="146" t="s">
        <v>393</v>
      </c>
      <c r="J29" s="979" t="s">
        <v>858</v>
      </c>
    </row>
    <row r="30" spans="2:19" ht="21" customHeight="1">
      <c r="B30" s="5"/>
      <c r="C30" s="380" t="s">
        <v>871</v>
      </c>
      <c r="D30" s="380"/>
      <c r="E30" s="380"/>
      <c r="F30" s="380"/>
      <c r="G30" s="583" t="s">
        <v>411</v>
      </c>
      <c r="H30" s="374"/>
      <c r="I30" s="146" t="s">
        <v>393</v>
      </c>
      <c r="J30" s="979" t="s">
        <v>858</v>
      </c>
    </row>
    <row r="31" spans="2:19" ht="21" customHeight="1">
      <c r="B31" s="5"/>
      <c r="C31" s="380" t="s">
        <v>872</v>
      </c>
      <c r="D31" s="380"/>
      <c r="E31" s="380"/>
      <c r="F31" s="380"/>
      <c r="G31" s="583" t="s">
        <v>412</v>
      </c>
      <c r="H31" s="374"/>
      <c r="I31" s="146" t="s">
        <v>393</v>
      </c>
      <c r="J31" s="979" t="s">
        <v>858</v>
      </c>
    </row>
    <row r="32" spans="2:19" ht="21" customHeight="1">
      <c r="B32" s="30"/>
      <c r="C32" s="378" t="s">
        <v>873</v>
      </c>
      <c r="D32" s="378"/>
      <c r="E32" s="378"/>
      <c r="F32" s="378"/>
      <c r="G32" s="583" t="s">
        <v>415</v>
      </c>
      <c r="H32" s="665"/>
      <c r="I32" s="146" t="s">
        <v>393</v>
      </c>
      <c r="J32" s="979" t="s">
        <v>858</v>
      </c>
    </row>
    <row r="33" spans="2:10" ht="21" customHeight="1">
      <c r="B33" s="5"/>
      <c r="C33" s="566"/>
      <c r="D33" s="566"/>
      <c r="E33" s="566"/>
      <c r="F33" s="566"/>
      <c r="G33" s="823"/>
      <c r="H33" s="374"/>
      <c r="I33" s="146" t="s">
        <v>393</v>
      </c>
      <c r="J33" s="979" t="s">
        <v>858</v>
      </c>
    </row>
    <row r="34" spans="2:10" ht="21" customHeight="1">
      <c r="B34" s="5"/>
      <c r="C34" s="566"/>
      <c r="D34" s="566"/>
      <c r="E34" s="566"/>
      <c r="F34" s="566"/>
      <c r="G34" s="566"/>
      <c r="H34" s="374"/>
      <c r="I34" s="146" t="s">
        <v>393</v>
      </c>
      <c r="J34" s="979" t="s">
        <v>858</v>
      </c>
    </row>
    <row r="35" spans="2:10" ht="21" customHeight="1">
      <c r="B35" s="5"/>
      <c r="C35" s="566"/>
      <c r="D35" s="566"/>
      <c r="E35" s="566"/>
      <c r="F35" s="566"/>
      <c r="G35" s="566"/>
      <c r="H35" s="374"/>
      <c r="I35" s="146" t="s">
        <v>393</v>
      </c>
      <c r="J35" s="979" t="s">
        <v>858</v>
      </c>
    </row>
    <row r="36" spans="2:10" ht="21" customHeight="1">
      <c r="B36" s="281" t="str">
        <f>"Total "&amp;TEXT('KEY INPUTS'!D34,"0")&amp;" Levy"</f>
        <v>Total 2019 Levy</v>
      </c>
      <c r="C36" s="5"/>
      <c r="D36" s="5"/>
      <c r="E36" s="5"/>
      <c r="F36" s="5"/>
      <c r="G36" s="5"/>
      <c r="H36" s="49" t="s">
        <v>882</v>
      </c>
      <c r="I36" s="146" t="s">
        <v>393</v>
      </c>
      <c r="J36" s="664">
        <f>SUM(H29:H35)</f>
        <v>0</v>
      </c>
    </row>
    <row r="37" spans="2:10" ht="21" customHeight="1">
      <c r="B37" s="5" t="s">
        <v>326</v>
      </c>
      <c r="C37" s="5"/>
      <c r="D37" s="5"/>
      <c r="E37" s="5"/>
      <c r="F37" s="5"/>
      <c r="G37" s="5"/>
      <c r="H37" s="49" t="s">
        <v>883</v>
      </c>
      <c r="I37" s="374"/>
      <c r="J37" s="979" t="s">
        <v>858</v>
      </c>
    </row>
    <row r="38" spans="2:10" ht="21" customHeight="1" thickBot="1">
      <c r="B38" s="5" t="str">
        <f>B17</f>
        <v>Balance - December 31, 2019</v>
      </c>
      <c r="C38" s="5"/>
      <c r="D38" s="5"/>
      <c r="E38" s="5"/>
      <c r="F38" s="5"/>
      <c r="G38" s="5"/>
      <c r="H38" s="49" t="s">
        <v>884</v>
      </c>
      <c r="I38" s="200">
        <f>+J27+J36-I37</f>
        <v>0</v>
      </c>
      <c r="J38" s="980" t="s">
        <v>858</v>
      </c>
    </row>
    <row r="39" spans="2:10" ht="21" customHeight="1" thickBot="1">
      <c r="B39" s="43"/>
      <c r="C39" s="7"/>
      <c r="D39" s="7"/>
      <c r="E39" s="7"/>
      <c r="F39" s="7"/>
      <c r="G39" s="7"/>
      <c r="H39" s="7"/>
      <c r="I39" s="79">
        <f>SUM(I36:I38)</f>
        <v>0</v>
      </c>
      <c r="J39" s="981">
        <f>SUM(J27:J38)</f>
        <v>0</v>
      </c>
    </row>
    <row r="40" spans="2:10" ht="21" customHeight="1" thickTop="1">
      <c r="B40" s="42"/>
      <c r="C40" s="42"/>
      <c r="D40" s="42"/>
      <c r="E40" s="42"/>
      <c r="F40" s="42"/>
      <c r="G40" s="42"/>
      <c r="H40" s="42"/>
      <c r="I40" s="11"/>
      <c r="J40" s="11"/>
    </row>
    <row r="41" spans="2:10">
      <c r="B41" t="s">
        <v>875</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3.8">
      <c r="B47" s="1507" t="s">
        <v>874</v>
      </c>
      <c r="C47" s="1507"/>
      <c r="D47" s="1507"/>
      <c r="E47" s="1507"/>
      <c r="F47" s="1507"/>
      <c r="G47" s="1507"/>
      <c r="H47" s="1507"/>
      <c r="I47" s="1507"/>
      <c r="J47" s="1507"/>
    </row>
  </sheetData>
  <sheetProtection password="CAF9"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B2:K54"/>
  <sheetViews>
    <sheetView zoomScaleNormal="100" workbookViewId="0">
      <selection activeCell="I37" sqref="I37"/>
    </sheetView>
  </sheetViews>
  <sheetFormatPr defaultRowHeight="13.2"/>
  <cols>
    <col min="1" max="1" width="4.6640625" customWidth="1"/>
    <col min="2" max="3" width="3.6640625" customWidth="1"/>
    <col min="4" max="4" width="4.6640625" customWidth="1"/>
    <col min="6" max="6" width="16.6640625" customWidth="1"/>
    <col min="7" max="7" width="8.6640625" customWidth="1"/>
    <col min="8" max="10" width="16.6640625" customWidth="1"/>
    <col min="11" max="11" width="13.5546875" bestFit="1" customWidth="1"/>
  </cols>
  <sheetData>
    <row r="2" spans="2:11" ht="22.8">
      <c r="B2" s="1548" t="str">
        <f>"STATEMENT OF GENERAL BUDGET REVENUES "&amp;TEXT('KEY INPUTS'!D34,"0")</f>
        <v>STATEMENT OF GENERAL BUDGET REVENUES 2019</v>
      </c>
      <c r="C2" s="1548"/>
      <c r="D2" s="1548"/>
      <c r="E2" s="1548"/>
      <c r="F2" s="1548"/>
      <c r="G2" s="1548"/>
      <c r="H2" s="1548"/>
      <c r="I2" s="1548"/>
      <c r="J2" s="1548"/>
    </row>
    <row r="3" spans="2:11" ht="13.8" thickBot="1"/>
    <row r="4" spans="2:11" ht="13.8" thickTop="1">
      <c r="B4" s="1619" t="s">
        <v>211</v>
      </c>
      <c r="C4" s="1619"/>
      <c r="D4" s="1619"/>
      <c r="E4" s="1619"/>
      <c r="F4" s="1619"/>
      <c r="G4" s="1620"/>
      <c r="H4" s="12" t="s">
        <v>677</v>
      </c>
      <c r="I4" s="12" t="s">
        <v>803</v>
      </c>
      <c r="J4" s="54" t="s">
        <v>218</v>
      </c>
    </row>
    <row r="5" spans="2:11" ht="13.8" thickBot="1">
      <c r="B5" s="1621"/>
      <c r="C5" s="1621"/>
      <c r="D5" s="1621"/>
      <c r="E5" s="1621"/>
      <c r="F5" s="1621"/>
      <c r="G5" s="1622"/>
      <c r="H5" s="56" t="s">
        <v>215</v>
      </c>
      <c r="I5" s="56" t="s">
        <v>216</v>
      </c>
      <c r="J5" s="55" t="s">
        <v>217</v>
      </c>
    </row>
    <row r="6" spans="2:11" ht="21" customHeight="1" thickTop="1">
      <c r="B6" s="283" t="s">
        <v>212</v>
      </c>
      <c r="C6" s="283"/>
      <c r="D6" s="283"/>
      <c r="E6" s="283"/>
      <c r="F6" s="283"/>
      <c r="G6" s="58" t="s">
        <v>219</v>
      </c>
      <c r="H6" s="1035">
        <v>3100000</v>
      </c>
      <c r="I6" s="216">
        <f>+H6</f>
        <v>3100000</v>
      </c>
      <c r="J6" s="217">
        <f>+I6-H6</f>
        <v>0</v>
      </c>
      <c r="K6" s="325"/>
    </row>
    <row r="7" spans="2:11" ht="10.5" customHeight="1">
      <c r="B7" s="34" t="s">
        <v>213</v>
      </c>
      <c r="C7" s="322"/>
      <c r="D7" s="322"/>
      <c r="E7" s="322"/>
      <c r="F7" s="322"/>
      <c r="G7" s="761"/>
      <c r="H7" s="104"/>
      <c r="I7" s="104"/>
      <c r="J7" s="230"/>
    </row>
    <row r="8" spans="2:11" ht="13.8">
      <c r="B8" s="284" t="s">
        <v>214</v>
      </c>
      <c r="C8" s="284"/>
      <c r="D8" s="284"/>
      <c r="E8" s="284"/>
      <c r="F8" s="284"/>
      <c r="G8" s="59" t="s">
        <v>220</v>
      </c>
      <c r="H8" s="591"/>
      <c r="I8" s="591"/>
      <c r="J8" s="231">
        <f>+I8-H8</f>
        <v>0</v>
      </c>
    </row>
    <row r="9" spans="2:11" ht="21" customHeight="1">
      <c r="B9" s="323" t="s">
        <v>221</v>
      </c>
      <c r="C9" s="323"/>
      <c r="D9" s="323"/>
      <c r="E9" s="323"/>
      <c r="F9" s="323"/>
      <c r="G9" s="323"/>
      <c r="H9" s="146" t="s">
        <v>788</v>
      </c>
      <c r="I9" s="146" t="s">
        <v>788</v>
      </c>
      <c r="J9" s="127" t="s">
        <v>788</v>
      </c>
    </row>
    <row r="10" spans="2:11" ht="21" customHeight="1">
      <c r="B10" s="323"/>
      <c r="C10" s="323"/>
      <c r="D10" s="323" t="s">
        <v>222</v>
      </c>
      <c r="E10" s="323"/>
      <c r="F10" s="323"/>
      <c r="G10" s="323"/>
      <c r="H10" s="372">
        <v>22908993.989999998</v>
      </c>
      <c r="I10" s="372">
        <f>24153086.06-I11</f>
        <v>24006644.139999997</v>
      </c>
      <c r="J10" s="214">
        <f>+I10-H10</f>
        <v>1097650.1499999985</v>
      </c>
      <c r="K10" s="325"/>
    </row>
    <row r="11" spans="2:11" ht="21" customHeight="1">
      <c r="B11" s="323"/>
      <c r="C11" s="323"/>
      <c r="D11" s="323" t="s">
        <v>1007</v>
      </c>
      <c r="E11" s="323"/>
      <c r="F11" s="323"/>
      <c r="G11" s="323"/>
      <c r="H11" s="337">
        <f>+'17a Totals-Budget Revenues'!H43</f>
        <v>146441.91999999998</v>
      </c>
      <c r="I11" s="337">
        <f>+H11</f>
        <v>146441.91999999998</v>
      </c>
      <c r="J11" s="214">
        <f>+I11-H11</f>
        <v>0</v>
      </c>
    </row>
    <row r="12" spans="2:11" ht="21" customHeight="1">
      <c r="B12" s="5"/>
      <c r="C12" s="5"/>
      <c r="D12" s="566"/>
      <c r="E12" s="566"/>
      <c r="F12" s="566"/>
      <c r="G12" s="566"/>
      <c r="H12" s="372"/>
      <c r="I12" s="372"/>
      <c r="J12" s="214">
        <f t="shared" ref="J12:J13" si="0">+I12-H12</f>
        <v>0</v>
      </c>
    </row>
    <row r="13" spans="2:11" ht="21" customHeight="1" thickBot="1">
      <c r="B13" s="5"/>
      <c r="C13" s="5"/>
      <c r="D13" s="566"/>
      <c r="E13" s="566"/>
      <c r="F13" s="566"/>
      <c r="G13" s="566"/>
      <c r="H13" s="637"/>
      <c r="I13" s="637"/>
      <c r="J13" s="950">
        <f t="shared" si="0"/>
        <v>0</v>
      </c>
    </row>
    <row r="14" spans="2:11" ht="21" customHeight="1" thickTop="1">
      <c r="B14" s="5" t="s">
        <v>1008</v>
      </c>
      <c r="C14" s="5"/>
      <c r="D14" s="5"/>
      <c r="E14" s="5"/>
      <c r="F14" s="5"/>
      <c r="G14" s="60" t="s">
        <v>1009</v>
      </c>
      <c r="H14" s="309">
        <f>SUM(H10:H13)</f>
        <v>23055435.91</v>
      </c>
      <c r="I14" s="309">
        <f>SUM(I10:I13)</f>
        <v>24153086.059999999</v>
      </c>
      <c r="J14" s="231">
        <f>SUM(J10:J13)</f>
        <v>1097650.1499999985</v>
      </c>
      <c r="K14" s="325"/>
    </row>
    <row r="15" spans="2:11" ht="21" customHeight="1">
      <c r="B15" s="5" t="s">
        <v>1014</v>
      </c>
      <c r="C15" s="5"/>
      <c r="D15" s="5"/>
      <c r="E15" s="5"/>
      <c r="F15" s="5"/>
      <c r="G15" s="60" t="s">
        <v>1010</v>
      </c>
      <c r="H15" s="372">
        <v>1065000</v>
      </c>
      <c r="I15" s="337">
        <f>+'26-Delinquent Taxes and Liens'!M22</f>
        <v>1280389.27</v>
      </c>
      <c r="J15" s="214">
        <f>+I15-H15</f>
        <v>215389.27000000002</v>
      </c>
      <c r="K15" s="325"/>
    </row>
    <row r="16" spans="2:11" ht="21" customHeight="1">
      <c r="B16" s="5"/>
      <c r="C16" s="5"/>
      <c r="D16" s="5"/>
      <c r="E16" s="5"/>
      <c r="F16" s="5"/>
      <c r="G16" s="5"/>
      <c r="H16" s="337"/>
      <c r="I16" s="337"/>
      <c r="J16" s="214"/>
    </row>
    <row r="17" spans="2:11" ht="21" customHeight="1">
      <c r="B17" s="5" t="s">
        <v>1015</v>
      </c>
      <c r="C17" s="5"/>
      <c r="D17" s="5"/>
      <c r="E17" s="5"/>
      <c r="F17" s="5"/>
      <c r="G17" s="5"/>
      <c r="H17" s="310" t="s">
        <v>788</v>
      </c>
      <c r="I17" s="310" t="s">
        <v>788</v>
      </c>
      <c r="J17" s="127" t="s">
        <v>788</v>
      </c>
    </row>
    <row r="18" spans="2:11" ht="21" customHeight="1">
      <c r="B18" s="5"/>
      <c r="C18" s="31" t="s">
        <v>1016</v>
      </c>
      <c r="D18" s="31"/>
      <c r="E18" s="5"/>
      <c r="F18" s="5"/>
      <c r="G18" s="60" t="s">
        <v>1011</v>
      </c>
      <c r="H18" s="372">
        <v>32694568.34</v>
      </c>
      <c r="I18" s="310" t="s">
        <v>788</v>
      </c>
      <c r="J18" s="127" t="s">
        <v>788</v>
      </c>
    </row>
    <row r="19" spans="2:11" ht="21" customHeight="1">
      <c r="B19" s="5"/>
      <c r="C19" s="31" t="s">
        <v>1017</v>
      </c>
      <c r="D19" s="31"/>
      <c r="E19" s="5"/>
      <c r="F19" s="5"/>
      <c r="G19" s="60" t="s">
        <v>1012</v>
      </c>
      <c r="H19" s="372"/>
      <c r="I19" s="146" t="s">
        <v>788</v>
      </c>
      <c r="J19" s="127" t="s">
        <v>788</v>
      </c>
    </row>
    <row r="20" spans="2:11" s="322" customFormat="1" ht="21" customHeight="1">
      <c r="B20" s="323"/>
      <c r="C20" s="31" t="s">
        <v>3645</v>
      </c>
      <c r="D20" s="31"/>
      <c r="E20" s="323"/>
      <c r="F20" s="323"/>
      <c r="G20" s="59" t="s">
        <v>3644</v>
      </c>
      <c r="H20" s="372">
        <v>1590171.44</v>
      </c>
      <c r="I20" s="146" t="s">
        <v>788</v>
      </c>
      <c r="J20" s="1000" t="s">
        <v>788</v>
      </c>
    </row>
    <row r="21" spans="2:11" ht="21" customHeight="1" thickBot="1">
      <c r="B21" s="5"/>
      <c r="C21" s="31"/>
      <c r="D21" s="31" t="s">
        <v>341</v>
      </c>
      <c r="E21" s="5"/>
      <c r="F21" s="5"/>
      <c r="G21" s="59" t="s">
        <v>1013</v>
      </c>
      <c r="H21" s="232">
        <f>+H19+H18+H20</f>
        <v>34284739.780000001</v>
      </c>
      <c r="I21" s="232">
        <f>+I40</f>
        <v>35830194.660000011</v>
      </c>
      <c r="J21" s="230">
        <f>+I21-H21</f>
        <v>1545454.8800000101</v>
      </c>
      <c r="K21" s="312"/>
    </row>
    <row r="22" spans="2:11" ht="21" customHeight="1" thickTop="1" thickBot="1">
      <c r="H22" s="215">
        <f>+H21+H15+H14+H8+H6</f>
        <v>61505175.689999998</v>
      </c>
      <c r="I22" s="215">
        <f>+I21+I15+I14+I8+I6</f>
        <v>64363669.99000001</v>
      </c>
      <c r="J22" s="233">
        <f>+J21+J15+J14+J8+J6</f>
        <v>2858494.3000000087</v>
      </c>
      <c r="K22" s="325"/>
    </row>
    <row r="23" spans="2:11" ht="13.8" thickTop="1"/>
    <row r="24" spans="2:11">
      <c r="H24" s="228"/>
      <c r="J24" s="228"/>
    </row>
    <row r="25" spans="2:11">
      <c r="I25" s="228"/>
    </row>
    <row r="26" spans="2:11" ht="22.8">
      <c r="B26" s="1548" t="s">
        <v>1018</v>
      </c>
      <c r="C26" s="1548"/>
      <c r="D26" s="1548"/>
      <c r="E26" s="1548"/>
      <c r="F26" s="1548"/>
      <c r="G26" s="1548"/>
      <c r="H26" s="1548"/>
      <c r="I26" s="1548"/>
      <c r="J26" s="1548"/>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1032</v>
      </c>
      <c r="C29" s="22"/>
      <c r="D29" s="22"/>
      <c r="E29" s="22"/>
      <c r="F29" s="22"/>
      <c r="G29" s="22"/>
      <c r="H29" s="50" t="s">
        <v>1020</v>
      </c>
      <c r="I29" s="145" t="s">
        <v>788</v>
      </c>
      <c r="J29" s="217">
        <f>+'22-2019 Levy'!L48</f>
        <v>119274467.38000001</v>
      </c>
    </row>
    <row r="30" spans="2:11" ht="21" customHeight="1">
      <c r="B30" s="5" t="s">
        <v>1033</v>
      </c>
      <c r="C30" s="5"/>
      <c r="D30" s="5"/>
      <c r="E30" s="5"/>
      <c r="F30" s="5"/>
      <c r="G30" s="5"/>
      <c r="H30" s="49"/>
      <c r="I30" s="146" t="s">
        <v>788</v>
      </c>
      <c r="J30" s="127" t="s">
        <v>788</v>
      </c>
    </row>
    <row r="31" spans="2:11" ht="21" customHeight="1">
      <c r="B31" s="5"/>
      <c r="C31" s="5"/>
      <c r="D31" s="5" t="s">
        <v>1034</v>
      </c>
      <c r="E31" s="5"/>
      <c r="F31" s="5"/>
      <c r="G31" s="5"/>
      <c r="H31" s="49" t="s">
        <v>1021</v>
      </c>
      <c r="I31" s="337">
        <f>+'13-Other Taxes'!H12+'13-Other Taxes'!H13</f>
        <v>66687576</v>
      </c>
      <c r="J31" s="264" t="s">
        <v>788</v>
      </c>
    </row>
    <row r="32" spans="2:11" ht="21" customHeight="1">
      <c r="B32" s="5"/>
      <c r="C32" s="5"/>
      <c r="D32" s="5" t="s">
        <v>1035</v>
      </c>
      <c r="E32" s="5"/>
      <c r="F32" s="5"/>
      <c r="G32" s="5"/>
      <c r="H32" s="49" t="s">
        <v>1022</v>
      </c>
      <c r="I32" s="337">
        <f>+'14-Other Taxes'!H13+'14-Other Taxes'!H14</f>
        <v>0</v>
      </c>
      <c r="J32" s="264" t="s">
        <v>788</v>
      </c>
    </row>
    <row r="33" spans="2:11" ht="21" customHeight="1">
      <c r="B33" s="5"/>
      <c r="C33" s="5"/>
      <c r="D33" s="5" t="s">
        <v>1036</v>
      </c>
      <c r="E33" s="5"/>
      <c r="F33" s="5"/>
      <c r="G33" s="5"/>
      <c r="H33" s="49" t="s">
        <v>1023</v>
      </c>
      <c r="I33" s="337">
        <f>+'14-Other Taxes'!H34+'14-Other Taxes'!H35</f>
        <v>0</v>
      </c>
      <c r="J33" s="264" t="s">
        <v>788</v>
      </c>
    </row>
    <row r="34" spans="2:11" ht="21" customHeight="1">
      <c r="B34" s="5"/>
      <c r="C34" s="5"/>
      <c r="D34" s="5" t="s">
        <v>864</v>
      </c>
      <c r="E34" s="5"/>
      <c r="F34" s="5"/>
      <c r="G34" s="5"/>
      <c r="H34" s="49" t="s">
        <v>1024</v>
      </c>
      <c r="I34" s="337">
        <f>+'15-Other Taxes'!J11+'15-Other Taxes'!J12+'15-Other Taxes'!J13+'15-Other Taxes'!J14</f>
        <v>18710325.789999999</v>
      </c>
      <c r="J34" s="264" t="s">
        <v>788</v>
      </c>
      <c r="K34" s="385"/>
    </row>
    <row r="35" spans="2:11" ht="21" customHeight="1">
      <c r="B35" s="5"/>
      <c r="C35" s="5"/>
      <c r="D35" s="5" t="s">
        <v>865</v>
      </c>
      <c r="E35" s="5"/>
      <c r="F35" s="5"/>
      <c r="G35" s="5"/>
      <c r="H35" s="49" t="s">
        <v>1025</v>
      </c>
      <c r="I35" s="337">
        <f>+'15-Other Taxes'!J15</f>
        <v>29097.51</v>
      </c>
      <c r="J35" s="264" t="s">
        <v>788</v>
      </c>
      <c r="K35" s="385"/>
    </row>
    <row r="36" spans="2:11" ht="21" customHeight="1">
      <c r="B36" s="5"/>
      <c r="C36" s="5"/>
      <c r="D36" s="5" t="s">
        <v>1037</v>
      </c>
      <c r="E36" s="5"/>
      <c r="F36" s="5"/>
      <c r="G36" s="5"/>
      <c r="H36" s="49" t="s">
        <v>1026</v>
      </c>
      <c r="I36" s="337">
        <f>+'15-Other Taxes'!J36</f>
        <v>0</v>
      </c>
      <c r="J36" s="264" t="s">
        <v>788</v>
      </c>
    </row>
    <row r="37" spans="2:11" ht="21" customHeight="1">
      <c r="B37" s="5"/>
      <c r="C37" s="5"/>
      <c r="D37" s="5" t="s">
        <v>975</v>
      </c>
      <c r="E37" s="5"/>
      <c r="F37" s="5"/>
      <c r="G37" s="5"/>
      <c r="H37" s="49" t="s">
        <v>976</v>
      </c>
      <c r="I37" s="337">
        <f>'13-Other Taxes'!H31</f>
        <v>459944.42</v>
      </c>
      <c r="J37" s="264" t="s">
        <v>788</v>
      </c>
    </row>
    <row r="38" spans="2:11" ht="21" customHeight="1">
      <c r="B38" s="5" t="s">
        <v>1038</v>
      </c>
      <c r="C38" s="5"/>
      <c r="D38" s="5"/>
      <c r="E38" s="5"/>
      <c r="F38" s="5"/>
      <c r="G38" s="5"/>
      <c r="H38" s="49" t="s">
        <v>1027</v>
      </c>
      <c r="I38" s="310" t="s">
        <v>788</v>
      </c>
      <c r="J38" s="311">
        <f>+'18-Budget Appropriations'!I15</f>
        <v>2442671</v>
      </c>
      <c r="K38" s="325"/>
    </row>
    <row r="39" spans="2:11" ht="21" customHeight="1">
      <c r="B39" s="5" t="s">
        <v>337</v>
      </c>
      <c r="C39" s="5"/>
      <c r="D39" s="5"/>
      <c r="E39" s="5"/>
      <c r="F39" s="5"/>
      <c r="G39" s="5"/>
      <c r="H39" s="49" t="s">
        <v>1028</v>
      </c>
      <c r="I39" s="310" t="s">
        <v>788</v>
      </c>
      <c r="J39" s="311">
        <f>IF(I53&lt;0,-I53,0)</f>
        <v>0</v>
      </c>
    </row>
    <row r="40" spans="2:11" ht="21" customHeight="1">
      <c r="B40" s="5" t="s">
        <v>338</v>
      </c>
      <c r="C40" s="5"/>
      <c r="D40" s="5"/>
      <c r="E40" s="5"/>
      <c r="F40" s="5"/>
      <c r="G40" s="5"/>
      <c r="H40" s="49" t="s">
        <v>1029</v>
      </c>
      <c r="I40" s="337">
        <f>+J29+J38-I31-I33-I34-I35-I36-I37</f>
        <v>35830194.660000011</v>
      </c>
      <c r="J40" s="127" t="s">
        <v>788</v>
      </c>
      <c r="K40" s="325"/>
    </row>
    <row r="41" spans="2:11" ht="21" customHeight="1">
      <c r="B41" s="5" t="s">
        <v>339</v>
      </c>
      <c r="C41" s="5"/>
      <c r="D41" s="5"/>
      <c r="E41" s="5"/>
      <c r="F41" s="5"/>
      <c r="G41" s="5"/>
      <c r="H41" s="49" t="s">
        <v>1030</v>
      </c>
      <c r="I41" s="372"/>
      <c r="J41" s="127" t="s">
        <v>788</v>
      </c>
    </row>
    <row r="42" spans="2:11" ht="21" customHeight="1" thickBot="1">
      <c r="B42" s="5" t="s">
        <v>340</v>
      </c>
      <c r="C42" s="5"/>
      <c r="D42" s="5"/>
      <c r="E42" s="5"/>
      <c r="F42" s="5"/>
      <c r="G42" s="5"/>
      <c r="H42" s="49" t="s">
        <v>1031</v>
      </c>
      <c r="I42" s="1008" t="s">
        <v>788</v>
      </c>
      <c r="J42" s="1036"/>
    </row>
    <row r="43" spans="2:11" ht="21" customHeight="1" thickTop="1" thickBot="1">
      <c r="B43" s="1623" t="s">
        <v>342</v>
      </c>
      <c r="C43" s="1623"/>
      <c r="D43" s="1623"/>
      <c r="E43" s="1623"/>
      <c r="F43" s="1623"/>
      <c r="G43" s="1623"/>
      <c r="H43" s="1623"/>
      <c r="I43" s="215">
        <f>SUM(I29:I42)</f>
        <v>121717138.38000001</v>
      </c>
      <c r="J43" s="233">
        <f>SUM(J29:J42)</f>
        <v>121717138.38000001</v>
      </c>
    </row>
    <row r="44" spans="2:11" ht="13.8" thickTop="1">
      <c r="B44" s="1624"/>
      <c r="C44" s="1624"/>
      <c r="D44" s="1624"/>
      <c r="E44" s="1624"/>
      <c r="F44" s="1624"/>
      <c r="G44" s="1624"/>
      <c r="H44" s="1624"/>
    </row>
    <row r="46" spans="2:11">
      <c r="I46" s="228"/>
    </row>
    <row r="50" spans="2:10" ht="13.8">
      <c r="B50" s="1507" t="s">
        <v>1019</v>
      </c>
      <c r="C50" s="1507"/>
      <c r="D50" s="1507"/>
      <c r="E50" s="1507"/>
      <c r="F50" s="1507"/>
      <c r="G50" s="1507"/>
      <c r="H50" s="1507"/>
      <c r="I50" s="1507"/>
      <c r="J50" s="1507"/>
    </row>
    <row r="52" spans="2:10" ht="13.8" thickBot="1"/>
    <row r="53" spans="2:10">
      <c r="G53" s="1615" t="s">
        <v>577</v>
      </c>
      <c r="H53" s="1616"/>
      <c r="I53" s="199">
        <f>+J29-SUM(I31:I37)+J38</f>
        <v>35830194.660000011</v>
      </c>
    </row>
    <row r="54" spans="2:10" ht="13.8" thickBot="1">
      <c r="G54" s="1617" t="s">
        <v>578</v>
      </c>
      <c r="H54" s="1618"/>
      <c r="I54" s="180"/>
    </row>
  </sheetData>
  <sheetProtection password="CAF9" sheet="1" objects="1" scenarios="1"/>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2:K57"/>
  <sheetViews>
    <sheetView topLeftCell="A19" zoomScaleNormal="100" zoomScaleSheetLayoutView="80" workbookViewId="0">
      <selection activeCell="H26" sqref="H26"/>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style="277" customWidth="1"/>
    <col min="9" max="9" width="3.6640625" bestFit="1" customWidth="1"/>
    <col min="10" max="10" width="13.5546875" bestFit="1" customWidth="1"/>
    <col min="11" max="11" width="11.109375" bestFit="1" customWidth="1"/>
  </cols>
  <sheetData>
    <row r="2" spans="2:11">
      <c r="B2" s="1554" t="s">
        <v>129</v>
      </c>
      <c r="C2" s="1554"/>
      <c r="D2" s="1554"/>
      <c r="E2" s="1554"/>
      <c r="F2" s="1554"/>
      <c r="G2" s="1554"/>
      <c r="H2" s="1554"/>
    </row>
    <row r="4" spans="2:11" ht="22.8">
      <c r="B4" s="1548" t="s">
        <v>543</v>
      </c>
      <c r="C4" s="1548"/>
      <c r="D4" s="1548"/>
      <c r="E4" s="1548"/>
      <c r="F4" s="1548"/>
      <c r="G4" s="1548"/>
      <c r="H4" s="1548"/>
    </row>
    <row r="5" spans="2:11" ht="22.8">
      <c r="B5" s="1548" t="s">
        <v>571</v>
      </c>
      <c r="C5" s="1548"/>
      <c r="D5" s="1548"/>
      <c r="E5" s="1548"/>
      <c r="F5" s="1548"/>
      <c r="G5" s="1548"/>
      <c r="H5" s="1548"/>
    </row>
    <row r="6" spans="2:11" ht="15.6">
      <c r="B6" s="1555" t="str">
        <f>'KEY INPUTS'!D44</f>
        <v>AS  AT  DECEMBER  31, 2019</v>
      </c>
      <c r="C6" s="1509"/>
      <c r="D6" s="1509"/>
      <c r="E6" s="1509"/>
      <c r="F6" s="1509"/>
      <c r="G6" s="1509"/>
      <c r="H6" s="1509"/>
    </row>
    <row r="8" spans="2:11" ht="15" customHeight="1" thickBot="1">
      <c r="B8" s="1556" t="s">
        <v>123</v>
      </c>
      <c r="C8" s="1556"/>
      <c r="D8" s="1556"/>
      <c r="E8" s="1556"/>
      <c r="F8" s="1556"/>
      <c r="G8" s="1556"/>
      <c r="H8" s="1556"/>
    </row>
    <row r="9" spans="2:11" ht="36" customHeight="1" thickTop="1" thickBot="1">
      <c r="B9" s="1552" t="s">
        <v>124</v>
      </c>
      <c r="C9" s="1552"/>
      <c r="D9" s="1552"/>
      <c r="E9" s="1552"/>
      <c r="F9" s="1553"/>
      <c r="G9" s="259" t="s">
        <v>125</v>
      </c>
      <c r="H9" s="260" t="s">
        <v>126</v>
      </c>
    </row>
    <row r="10" spans="2:11" s="322" customFormat="1" ht="21" customHeight="1" thickTop="1">
      <c r="B10" s="192" t="s">
        <v>3791</v>
      </c>
      <c r="C10" s="779"/>
      <c r="D10" s="779"/>
      <c r="E10" s="779"/>
      <c r="F10" s="738"/>
      <c r="G10" s="780">
        <f>+'3-Trial Bal-Current Fund'!G46</f>
        <v>36356097.839999989</v>
      </c>
      <c r="H10" s="835">
        <f>+'3-Trial Bal-Current Fund'!H46</f>
        <v>39333.030000000028</v>
      </c>
    </row>
    <row r="11" spans="2:11" ht="21" customHeight="1">
      <c r="B11" s="880" t="s">
        <v>996</v>
      </c>
      <c r="C11" s="838"/>
      <c r="D11" s="839"/>
      <c r="E11" s="839"/>
      <c r="F11" s="840"/>
      <c r="G11" s="875"/>
      <c r="H11" s="836">
        <f>'18-Budget Appropriations'!I16</f>
        <v>2993899.2000000011</v>
      </c>
      <c r="J11" s="385"/>
    </row>
    <row r="12" spans="2:11" ht="21" customHeight="1">
      <c r="B12" s="567" t="s">
        <v>997</v>
      </c>
      <c r="C12" s="717"/>
      <c r="D12" s="815"/>
      <c r="E12" s="815"/>
      <c r="F12" s="822"/>
      <c r="G12" s="372"/>
      <c r="H12" s="589">
        <v>470490.89</v>
      </c>
      <c r="I12" s="118"/>
      <c r="J12" s="228"/>
      <c r="K12" s="228"/>
    </row>
    <row r="13" spans="2:11" ht="21" customHeight="1">
      <c r="B13" s="567" t="s">
        <v>3414</v>
      </c>
      <c r="C13" s="717"/>
      <c r="D13" s="815"/>
      <c r="E13" s="815"/>
      <c r="F13" s="822"/>
      <c r="G13" s="372"/>
      <c r="H13" s="589">
        <f>376796.66+34620.8</f>
        <v>411417.45999999996</v>
      </c>
      <c r="I13" s="118"/>
      <c r="J13" s="228"/>
      <c r="K13" s="228"/>
    </row>
    <row r="14" spans="2:11" ht="21" customHeight="1">
      <c r="B14" s="567" t="s">
        <v>3476</v>
      </c>
      <c r="C14" s="717"/>
      <c r="D14" s="815"/>
      <c r="E14" s="815"/>
      <c r="F14" s="822"/>
      <c r="G14" s="372"/>
      <c r="H14" s="589">
        <v>56400.01</v>
      </c>
      <c r="I14" s="118"/>
      <c r="J14" s="228"/>
      <c r="K14" s="228"/>
    </row>
    <row r="15" spans="2:11" ht="21" customHeight="1">
      <c r="B15" s="567" t="s">
        <v>3477</v>
      </c>
      <c r="C15" s="717"/>
      <c r="D15" s="815"/>
      <c r="E15" s="815"/>
      <c r="F15" s="822"/>
      <c r="G15" s="372"/>
      <c r="H15" s="589">
        <v>871769.97</v>
      </c>
      <c r="I15" s="118"/>
      <c r="J15" s="228"/>
      <c r="K15" s="228"/>
    </row>
    <row r="16" spans="2:11" ht="21" customHeight="1">
      <c r="B16" s="567" t="s">
        <v>4033</v>
      </c>
      <c r="C16" s="717"/>
      <c r="D16" s="815"/>
      <c r="E16" s="815"/>
      <c r="F16" s="822"/>
      <c r="G16" s="372"/>
      <c r="H16" s="589">
        <v>210000</v>
      </c>
      <c r="I16" s="118"/>
      <c r="J16" s="228"/>
      <c r="K16" s="228"/>
    </row>
    <row r="17" spans="2:11" ht="21" customHeight="1">
      <c r="B17" s="567"/>
      <c r="C17" s="717"/>
      <c r="D17" s="815"/>
      <c r="E17" s="815"/>
      <c r="F17" s="822"/>
      <c r="G17" s="372"/>
      <c r="H17" s="589"/>
      <c r="I17" s="118"/>
      <c r="J17" s="228"/>
      <c r="K17" s="228"/>
    </row>
    <row r="18" spans="2:11" ht="21" customHeight="1">
      <c r="B18" s="567" t="s">
        <v>3478</v>
      </c>
      <c r="C18" s="717"/>
      <c r="D18" s="815"/>
      <c r="E18" s="815"/>
      <c r="F18" s="822"/>
      <c r="G18" s="372"/>
      <c r="H18" s="589"/>
      <c r="I18" s="118"/>
      <c r="J18" s="325"/>
    </row>
    <row r="19" spans="2:11" ht="21" customHeight="1">
      <c r="B19" s="567" t="s">
        <v>4030</v>
      </c>
      <c r="C19" s="717"/>
      <c r="D19" s="815"/>
      <c r="E19" s="815"/>
      <c r="F19" s="822"/>
      <c r="G19" s="372"/>
      <c r="H19" s="589">
        <v>1750</v>
      </c>
      <c r="I19" s="118"/>
      <c r="J19" s="325"/>
    </row>
    <row r="20" spans="2:11" ht="21" customHeight="1">
      <c r="B20" s="567" t="s">
        <v>4031</v>
      </c>
      <c r="C20" s="717"/>
      <c r="D20" s="815"/>
      <c r="E20" s="815"/>
      <c r="F20" s="822"/>
      <c r="G20" s="372"/>
      <c r="H20" s="589">
        <v>13475</v>
      </c>
      <c r="I20" s="118"/>
      <c r="J20" s="228"/>
      <c r="K20" s="228"/>
    </row>
    <row r="21" spans="2:11" ht="21" customHeight="1">
      <c r="B21" s="567" t="s">
        <v>4032</v>
      </c>
      <c r="C21" s="717"/>
      <c r="D21" s="815"/>
      <c r="E21" s="815"/>
      <c r="F21" s="822"/>
      <c r="G21" s="372"/>
      <c r="H21" s="589">
        <v>90</v>
      </c>
      <c r="I21" s="118"/>
      <c r="J21" s="228"/>
      <c r="K21" s="228"/>
    </row>
    <row r="22" spans="2:11" ht="21" customHeight="1">
      <c r="B22" s="837" t="s">
        <v>3504</v>
      </c>
      <c r="C22" s="838"/>
      <c r="D22" s="839"/>
      <c r="E22" s="839"/>
      <c r="F22" s="840"/>
      <c r="G22" s="875"/>
      <c r="H22" s="836">
        <f>'13-Other Taxes'!G16</f>
        <v>22701788</v>
      </c>
      <c r="I22" s="118"/>
    </row>
    <row r="23" spans="2:11" ht="21" customHeight="1">
      <c r="B23" s="837" t="s">
        <v>3505</v>
      </c>
      <c r="C23" s="838"/>
      <c r="D23" s="839"/>
      <c r="E23" s="839"/>
      <c r="F23" s="840"/>
      <c r="G23" s="875"/>
      <c r="H23" s="836">
        <f>'14-Other Taxes'!G17</f>
        <v>0</v>
      </c>
      <c r="I23" s="118"/>
      <c r="J23" s="325"/>
    </row>
    <row r="24" spans="2:11" ht="21" customHeight="1">
      <c r="B24" s="837" t="s">
        <v>3506</v>
      </c>
      <c r="C24" s="838"/>
      <c r="D24" s="839"/>
      <c r="E24" s="839"/>
      <c r="F24" s="840"/>
      <c r="G24" s="875"/>
      <c r="H24" s="836">
        <f>'14-Other Taxes'!G38</f>
        <v>0</v>
      </c>
      <c r="I24" s="118"/>
      <c r="J24" s="228"/>
    </row>
    <row r="25" spans="2:11" ht="21" customHeight="1">
      <c r="B25" s="845" t="s">
        <v>3777</v>
      </c>
      <c r="C25" s="1254"/>
      <c r="D25" s="1255"/>
      <c r="E25" s="1255"/>
      <c r="F25" s="1256"/>
      <c r="G25" s="908"/>
      <c r="H25" s="915">
        <f>'15-Other Taxes'!I18</f>
        <v>0</v>
      </c>
      <c r="I25" s="118"/>
      <c r="J25" s="228"/>
      <c r="K25" s="228"/>
    </row>
    <row r="26" spans="2:11" ht="21" customHeight="1">
      <c r="B26" s="837" t="s">
        <v>3507</v>
      </c>
      <c r="C26" s="838"/>
      <c r="D26" s="839"/>
      <c r="E26" s="839"/>
      <c r="F26" s="840"/>
      <c r="G26" s="875"/>
      <c r="H26" s="836">
        <f>'15-Other Taxes'!I19</f>
        <v>29097.510000001639</v>
      </c>
      <c r="I26" s="118"/>
      <c r="J26" s="228"/>
    </row>
    <row r="27" spans="2:11" ht="21" customHeight="1">
      <c r="B27" s="837" t="s">
        <v>3508</v>
      </c>
      <c r="C27" s="838"/>
      <c r="D27" s="839"/>
      <c r="E27" s="839"/>
      <c r="F27" s="840"/>
      <c r="G27" s="875"/>
      <c r="H27" s="836">
        <f>'15-Other Taxes'!I38</f>
        <v>0</v>
      </c>
      <c r="I27" s="118"/>
      <c r="J27" s="228"/>
      <c r="K27" s="228"/>
    </row>
    <row r="28" spans="2:11" ht="21" customHeight="1">
      <c r="B28" s="837" t="s">
        <v>3509</v>
      </c>
      <c r="C28" s="838"/>
      <c r="D28" s="839"/>
      <c r="E28" s="839"/>
      <c r="F28" s="840"/>
      <c r="G28" s="875"/>
      <c r="H28" s="836">
        <f>'24-Reserves for Tax Appeals'!I17</f>
        <v>26067.75</v>
      </c>
      <c r="I28" s="118"/>
      <c r="J28" s="228"/>
      <c r="K28" s="228"/>
    </row>
    <row r="29" spans="2:11" ht="21" customHeight="1">
      <c r="B29" s="1557" t="s">
        <v>4027</v>
      </c>
      <c r="C29" s="1557"/>
      <c r="D29" s="1557"/>
      <c r="E29" s="1557"/>
      <c r="F29" s="1558"/>
      <c r="G29" s="372"/>
      <c r="H29" s="589">
        <v>58321.13</v>
      </c>
      <c r="I29" s="118"/>
      <c r="J29" s="228"/>
      <c r="K29" s="228"/>
    </row>
    <row r="30" spans="2:11" ht="21" customHeight="1">
      <c r="B30" s="1557" t="s">
        <v>4028</v>
      </c>
      <c r="C30" s="1557"/>
      <c r="D30" s="1557"/>
      <c r="E30" s="1557"/>
      <c r="F30" s="1558"/>
      <c r="G30" s="372"/>
      <c r="H30" s="589">
        <v>97846.26</v>
      </c>
      <c r="I30" s="118"/>
    </row>
    <row r="31" spans="2:11" ht="21" customHeight="1">
      <c r="B31" s="566" t="s">
        <v>4029</v>
      </c>
      <c r="C31" s="566"/>
      <c r="D31" s="566"/>
      <c r="E31" s="566"/>
      <c r="F31" s="566"/>
      <c r="G31" s="372"/>
      <c r="H31" s="589">
        <v>22.4</v>
      </c>
      <c r="I31" s="118"/>
      <c r="J31" s="228"/>
      <c r="K31" s="228"/>
    </row>
    <row r="32" spans="2:11" ht="21" customHeight="1">
      <c r="B32" s="1557" t="s">
        <v>4026</v>
      </c>
      <c r="C32" s="1557"/>
      <c r="D32" s="1557"/>
      <c r="E32" s="1557"/>
      <c r="F32" s="1558"/>
      <c r="G32" s="372"/>
      <c r="H32" s="589">
        <v>8608.7800000000007</v>
      </c>
      <c r="I32" s="118"/>
      <c r="J32" s="228"/>
      <c r="K32" s="228"/>
    </row>
    <row r="33" spans="2:11" ht="21" customHeight="1">
      <c r="B33" s="1557"/>
      <c r="C33" s="1557"/>
      <c r="D33" s="1557"/>
      <c r="E33" s="1557"/>
      <c r="F33" s="1558"/>
      <c r="G33" s="372"/>
      <c r="H33" s="589"/>
      <c r="I33" s="118"/>
      <c r="J33" s="228"/>
      <c r="K33" s="228"/>
    </row>
    <row r="34" spans="2:11" ht="21" customHeight="1">
      <c r="B34" s="1557" t="s">
        <v>4034</v>
      </c>
      <c r="C34" s="1557"/>
      <c r="D34" s="1557"/>
      <c r="E34" s="1557"/>
      <c r="F34" s="1558"/>
      <c r="G34" s="372"/>
      <c r="H34" s="589">
        <v>25004.22</v>
      </c>
      <c r="I34" s="118"/>
      <c r="J34" s="228"/>
      <c r="K34" s="228"/>
    </row>
    <row r="35" spans="2:11" ht="21" customHeight="1">
      <c r="B35" s="1557" t="s">
        <v>4035</v>
      </c>
      <c r="C35" s="1557"/>
      <c r="D35" s="1557"/>
      <c r="E35" s="1557"/>
      <c r="F35" s="1558"/>
      <c r="G35" s="372"/>
      <c r="H35" s="662">
        <v>59117.86</v>
      </c>
      <c r="I35" s="118"/>
      <c r="J35" s="228"/>
      <c r="K35" s="228"/>
    </row>
    <row r="36" spans="2:11" ht="21" customHeight="1">
      <c r="B36" s="1557"/>
      <c r="C36" s="1557"/>
      <c r="D36" s="1557"/>
      <c r="E36" s="1557"/>
      <c r="F36" s="1558"/>
      <c r="G36" s="372"/>
      <c r="H36" s="568"/>
      <c r="I36" s="118"/>
    </row>
    <row r="37" spans="2:11" ht="21" customHeight="1">
      <c r="B37" s="566"/>
      <c r="C37" s="566"/>
      <c r="D37" s="566"/>
      <c r="E37" s="566"/>
      <c r="F37" s="566"/>
      <c r="G37" s="372"/>
      <c r="H37" s="1488"/>
      <c r="I37" s="118"/>
      <c r="J37" s="711"/>
    </row>
    <row r="38" spans="2:11" ht="21" customHeight="1">
      <c r="B38" s="566"/>
      <c r="C38" s="566"/>
      <c r="D38" s="566"/>
      <c r="E38" s="566"/>
      <c r="F38" s="566"/>
      <c r="G38" s="372"/>
      <c r="H38" s="589"/>
      <c r="I38" s="118"/>
    </row>
    <row r="39" spans="2:11" ht="21" customHeight="1">
      <c r="B39" s="566"/>
      <c r="C39" s="566"/>
      <c r="D39" s="566"/>
      <c r="E39" s="566"/>
      <c r="F39" s="566"/>
      <c r="G39" s="372"/>
      <c r="H39" s="589"/>
      <c r="I39" s="118"/>
      <c r="J39" s="228"/>
      <c r="K39" s="228"/>
    </row>
    <row r="40" spans="2:11" ht="21" customHeight="1">
      <c r="B40" s="566"/>
      <c r="C40" s="566"/>
      <c r="D40" s="566"/>
      <c r="E40" s="566"/>
      <c r="F40" s="566"/>
      <c r="G40" s="372"/>
      <c r="H40" s="589"/>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9"/>
      <c r="I43" s="118"/>
    </row>
    <row r="44" spans="2:11" ht="21" customHeight="1" thickBot="1">
      <c r="B44" s="5"/>
      <c r="C44" s="5"/>
      <c r="D44" s="5"/>
      <c r="E44" s="5"/>
      <c r="F44" s="326" t="s">
        <v>3539</v>
      </c>
      <c r="G44" s="362">
        <f>SUM(G10:G43)</f>
        <v>36356097.839999989</v>
      </c>
      <c r="H44" s="270">
        <f>SUM(H10:H43)</f>
        <v>28074499.470000003</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511" t="s">
        <v>127</v>
      </c>
      <c r="C47" s="1511"/>
      <c r="D47" s="1511"/>
      <c r="E47" s="1511"/>
      <c r="F47" s="1511"/>
      <c r="G47" s="1511"/>
      <c r="H47" s="1511"/>
    </row>
    <row r="48" spans="2:11" ht="13.8">
      <c r="B48" s="1507" t="s">
        <v>130</v>
      </c>
      <c r="C48" s="1507"/>
      <c r="D48" s="1507"/>
      <c r="E48" s="1507"/>
      <c r="F48" s="1507"/>
      <c r="G48" s="1507"/>
      <c r="H48" s="1507"/>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5">
    <mergeCell ref="B47:H47"/>
    <mergeCell ref="B48:H48"/>
    <mergeCell ref="B2:H2"/>
    <mergeCell ref="B4:H4"/>
    <mergeCell ref="B5:H5"/>
    <mergeCell ref="B6:H6"/>
    <mergeCell ref="B8:H8"/>
    <mergeCell ref="B9:F9"/>
    <mergeCell ref="B29:F29"/>
    <mergeCell ref="B30:F30"/>
    <mergeCell ref="B32:F32"/>
    <mergeCell ref="B33:F33"/>
    <mergeCell ref="B34:F34"/>
    <mergeCell ref="B35:F35"/>
    <mergeCell ref="B36:F36"/>
  </mergeCells>
  <phoneticPr fontId="0" type="noConversion"/>
  <pageMargins left="0.25" right="0.25" top="0.5" bottom="0.5" header="0.25" footer="0.25"/>
  <pageSetup paperSize="5" scale="9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B4:L52"/>
  <sheetViews>
    <sheetView zoomScaleNormal="100" zoomScaleSheetLayoutView="90" workbookViewId="0">
      <selection activeCell="H15" sqref="H15"/>
    </sheetView>
  </sheetViews>
  <sheetFormatPr defaultRowHeight="13.2"/>
  <cols>
    <col min="1" max="3" width="4.6640625" customWidth="1"/>
    <col min="7" max="7" width="9.109375" customWidth="1"/>
    <col min="8" max="9" width="16.6640625" customWidth="1"/>
    <col min="10" max="10" width="19.5546875" customWidth="1"/>
  </cols>
  <sheetData>
    <row r="4" spans="2:12" ht="22.8">
      <c r="B4" s="1548" t="str">
        <f>'17-Budget Revenues'!B2:J2</f>
        <v>STATEMENT OF GENERAL BUDGET REVENUES 2019</v>
      </c>
      <c r="C4" s="1548"/>
      <c r="D4" s="1548"/>
      <c r="E4" s="1548"/>
      <c r="F4" s="1548"/>
      <c r="G4" s="1548"/>
      <c r="H4" s="1548"/>
      <c r="I4" s="1548"/>
      <c r="J4" s="1548"/>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2" t="s">
        <v>211</v>
      </c>
      <c r="C9" s="1552"/>
      <c r="D9" s="1552"/>
      <c r="E9" s="1552"/>
      <c r="F9" s="1552"/>
      <c r="G9" s="1552"/>
      <c r="H9" s="4" t="s">
        <v>677</v>
      </c>
      <c r="I9" s="4" t="s">
        <v>803</v>
      </c>
      <c r="J9" s="994" t="s">
        <v>345</v>
      </c>
    </row>
    <row r="10" spans="2:12" ht="21.9" customHeight="1" thickTop="1">
      <c r="B10" s="22"/>
      <c r="C10" s="22"/>
      <c r="D10" s="22"/>
      <c r="E10" s="22"/>
      <c r="F10" s="22"/>
      <c r="G10" s="22"/>
      <c r="H10" s="63"/>
      <c r="I10" s="63"/>
      <c r="J10" s="64"/>
    </row>
    <row r="11" spans="2:12" ht="21.9" customHeight="1">
      <c r="B11" s="567"/>
      <c r="C11" s="566"/>
      <c r="D11" s="566"/>
      <c r="E11" s="566"/>
      <c r="F11" s="566"/>
      <c r="G11" s="566"/>
      <c r="H11" s="372"/>
      <c r="I11" s="372">
        <f>H11</f>
        <v>0</v>
      </c>
      <c r="J11" s="214">
        <f t="shared" ref="J11:J12" si="0">H11-I11</f>
        <v>0</v>
      </c>
      <c r="L11" s="1458" t="s">
        <v>3779</v>
      </c>
    </row>
    <row r="12" spans="2:12" ht="21.9" customHeight="1">
      <c r="B12" s="567" t="s">
        <v>3917</v>
      </c>
      <c r="C12" s="566"/>
      <c r="D12" s="566"/>
      <c r="E12" s="566"/>
      <c r="F12" s="566"/>
      <c r="G12" s="566"/>
      <c r="H12" s="372">
        <v>80941.919999999998</v>
      </c>
      <c r="I12" s="372">
        <f>+H12</f>
        <v>80941.919999999998</v>
      </c>
      <c r="J12" s="214">
        <f t="shared" si="0"/>
        <v>0</v>
      </c>
    </row>
    <row r="13" spans="2:12" ht="21.9" customHeight="1">
      <c r="B13" s="567" t="s">
        <v>4020</v>
      </c>
      <c r="C13" s="566"/>
      <c r="D13" s="566"/>
      <c r="E13" s="566"/>
      <c r="F13" s="566"/>
      <c r="G13" s="566"/>
      <c r="H13" s="372">
        <v>60000</v>
      </c>
      <c r="I13" s="372">
        <f t="shared" ref="I13:I42" si="1">+H13</f>
        <v>60000</v>
      </c>
      <c r="J13" s="214">
        <f t="shared" ref="J13:J42" si="2">H13-I13</f>
        <v>0</v>
      </c>
    </row>
    <row r="14" spans="2:12" ht="21.9" customHeight="1">
      <c r="B14" s="567" t="s">
        <v>3905</v>
      </c>
      <c r="C14" s="566"/>
      <c r="D14" s="566"/>
      <c r="E14" s="566"/>
      <c r="F14" s="566"/>
      <c r="G14" s="566"/>
      <c r="H14" s="372">
        <v>5500</v>
      </c>
      <c r="I14" s="372">
        <f t="shared" si="1"/>
        <v>5500</v>
      </c>
      <c r="J14" s="214">
        <f t="shared" si="2"/>
        <v>0</v>
      </c>
    </row>
    <row r="15" spans="2:12" ht="21.9" customHeight="1">
      <c r="B15" s="567"/>
      <c r="C15" s="566"/>
      <c r="D15" s="566"/>
      <c r="E15" s="566"/>
      <c r="F15" s="566"/>
      <c r="G15" s="566"/>
      <c r="H15" s="372"/>
      <c r="I15" s="372">
        <f t="shared" si="1"/>
        <v>0</v>
      </c>
      <c r="J15" s="214">
        <f t="shared" si="2"/>
        <v>0</v>
      </c>
    </row>
    <row r="16" spans="2:12" ht="21.9" customHeight="1">
      <c r="B16" s="567"/>
      <c r="C16" s="566"/>
      <c r="D16" s="566"/>
      <c r="E16" s="566"/>
      <c r="F16" s="566"/>
      <c r="G16" s="566"/>
      <c r="H16" s="372"/>
      <c r="I16" s="372">
        <f t="shared" si="1"/>
        <v>0</v>
      </c>
      <c r="J16" s="214">
        <f t="shared" si="2"/>
        <v>0</v>
      </c>
    </row>
    <row r="17" spans="2:10" ht="21.9" customHeight="1">
      <c r="B17" s="567"/>
      <c r="C17" s="566"/>
      <c r="D17" s="566"/>
      <c r="E17" s="566"/>
      <c r="F17" s="566"/>
      <c r="G17" s="566"/>
      <c r="H17" s="372"/>
      <c r="I17" s="372">
        <f t="shared" si="1"/>
        <v>0</v>
      </c>
      <c r="J17" s="214">
        <f t="shared" si="2"/>
        <v>0</v>
      </c>
    </row>
    <row r="18" spans="2:10" ht="21.9" customHeight="1">
      <c r="B18" s="567"/>
      <c r="C18" s="566"/>
      <c r="D18" s="566"/>
      <c r="E18" s="566"/>
      <c r="F18" s="566"/>
      <c r="G18" s="566"/>
      <c r="H18" s="372"/>
      <c r="I18" s="372">
        <f t="shared" si="1"/>
        <v>0</v>
      </c>
      <c r="J18" s="214">
        <f t="shared" si="2"/>
        <v>0</v>
      </c>
    </row>
    <row r="19" spans="2:10" ht="21.9" customHeight="1">
      <c r="B19" s="567"/>
      <c r="C19" s="566"/>
      <c r="D19" s="566"/>
      <c r="E19" s="566"/>
      <c r="F19" s="566"/>
      <c r="G19" s="566"/>
      <c r="H19" s="372"/>
      <c r="I19" s="372">
        <f t="shared" si="1"/>
        <v>0</v>
      </c>
      <c r="J19" s="214">
        <f t="shared" si="2"/>
        <v>0</v>
      </c>
    </row>
    <row r="20" spans="2:10" ht="21.9" customHeight="1">
      <c r="B20" s="567"/>
      <c r="C20" s="566"/>
      <c r="D20" s="566"/>
      <c r="E20" s="566"/>
      <c r="F20" s="566"/>
      <c r="G20" s="566"/>
      <c r="H20" s="372"/>
      <c r="I20" s="372">
        <f t="shared" si="1"/>
        <v>0</v>
      </c>
      <c r="J20" s="214">
        <f t="shared" si="2"/>
        <v>0</v>
      </c>
    </row>
    <row r="21" spans="2:10" ht="21.9" customHeight="1">
      <c r="B21" s="567"/>
      <c r="C21" s="566"/>
      <c r="D21" s="566"/>
      <c r="E21" s="566"/>
      <c r="F21" s="566"/>
      <c r="G21" s="566"/>
      <c r="H21" s="372"/>
      <c r="I21" s="372">
        <f t="shared" si="1"/>
        <v>0</v>
      </c>
      <c r="J21" s="214">
        <f t="shared" si="2"/>
        <v>0</v>
      </c>
    </row>
    <row r="22" spans="2:10" ht="21.9" customHeight="1">
      <c r="B22" s="567"/>
      <c r="C22" s="566"/>
      <c r="D22" s="566"/>
      <c r="E22" s="566"/>
      <c r="F22" s="566"/>
      <c r="G22" s="566"/>
      <c r="H22" s="372"/>
      <c r="I22" s="372">
        <f t="shared" si="1"/>
        <v>0</v>
      </c>
      <c r="J22" s="214">
        <f t="shared" si="2"/>
        <v>0</v>
      </c>
    </row>
    <row r="23" spans="2:10" ht="21.9" customHeight="1">
      <c r="B23" s="567"/>
      <c r="C23" s="566"/>
      <c r="D23" s="566"/>
      <c r="E23" s="566"/>
      <c r="F23" s="566"/>
      <c r="G23" s="566"/>
      <c r="H23" s="372"/>
      <c r="I23" s="372">
        <f t="shared" si="1"/>
        <v>0</v>
      </c>
      <c r="J23" s="214">
        <f t="shared" si="2"/>
        <v>0</v>
      </c>
    </row>
    <row r="24" spans="2:10" ht="21.9" customHeight="1">
      <c r="B24" s="567"/>
      <c r="C24" s="566"/>
      <c r="D24" s="566"/>
      <c r="E24" s="566"/>
      <c r="F24" s="566"/>
      <c r="G24" s="566"/>
      <c r="H24" s="372"/>
      <c r="I24" s="372">
        <f t="shared" si="1"/>
        <v>0</v>
      </c>
      <c r="J24" s="214">
        <f t="shared" si="2"/>
        <v>0</v>
      </c>
    </row>
    <row r="25" spans="2:10" ht="21.9" customHeight="1">
      <c r="B25" s="567"/>
      <c r="C25" s="566"/>
      <c r="D25" s="566"/>
      <c r="E25" s="566"/>
      <c r="F25" s="566"/>
      <c r="G25" s="566"/>
      <c r="H25" s="372"/>
      <c r="I25" s="372">
        <f t="shared" si="1"/>
        <v>0</v>
      </c>
      <c r="J25" s="214">
        <f t="shared" si="2"/>
        <v>0</v>
      </c>
    </row>
    <row r="26" spans="2:10" ht="21.9" customHeight="1">
      <c r="B26" s="567"/>
      <c r="C26" s="566"/>
      <c r="D26" s="566"/>
      <c r="E26" s="566"/>
      <c r="F26" s="566"/>
      <c r="G26" s="566"/>
      <c r="H26" s="372"/>
      <c r="I26" s="372">
        <f t="shared" si="1"/>
        <v>0</v>
      </c>
      <c r="J26" s="214">
        <f t="shared" si="2"/>
        <v>0</v>
      </c>
    </row>
    <row r="27" spans="2:10" ht="21.9" customHeight="1">
      <c r="B27" s="567"/>
      <c r="C27" s="566"/>
      <c r="D27" s="566"/>
      <c r="E27" s="566"/>
      <c r="F27" s="566"/>
      <c r="G27" s="566"/>
      <c r="H27" s="372"/>
      <c r="I27" s="372">
        <f t="shared" si="1"/>
        <v>0</v>
      </c>
      <c r="J27" s="214">
        <f t="shared" si="2"/>
        <v>0</v>
      </c>
    </row>
    <row r="28" spans="2:10" ht="21.9" customHeight="1">
      <c r="B28" s="567"/>
      <c r="C28" s="566"/>
      <c r="D28" s="566"/>
      <c r="E28" s="566"/>
      <c r="F28" s="566"/>
      <c r="G28" s="566"/>
      <c r="H28" s="372"/>
      <c r="I28" s="372">
        <f t="shared" si="1"/>
        <v>0</v>
      </c>
      <c r="J28" s="214">
        <f t="shared" si="2"/>
        <v>0</v>
      </c>
    </row>
    <row r="29" spans="2:10" s="322" customFormat="1" ht="21.9" customHeight="1">
      <c r="B29" s="567"/>
      <c r="C29" s="566"/>
      <c r="D29" s="566"/>
      <c r="E29" s="566"/>
      <c r="F29" s="566"/>
      <c r="G29" s="566"/>
      <c r="H29" s="372"/>
      <c r="I29" s="372">
        <f t="shared" si="1"/>
        <v>0</v>
      </c>
      <c r="J29" s="214">
        <f t="shared" si="2"/>
        <v>0</v>
      </c>
    </row>
    <row r="30" spans="2:10" s="322" customFormat="1" ht="21.9" customHeight="1">
      <c r="B30" s="567"/>
      <c r="C30" s="566"/>
      <c r="D30" s="566"/>
      <c r="E30" s="566"/>
      <c r="F30" s="566"/>
      <c r="G30" s="566"/>
      <c r="H30" s="372"/>
      <c r="I30" s="372">
        <f t="shared" si="1"/>
        <v>0</v>
      </c>
      <c r="J30" s="214">
        <f t="shared" si="2"/>
        <v>0</v>
      </c>
    </row>
    <row r="31" spans="2:10" s="322" customFormat="1" ht="21.9" customHeight="1">
      <c r="B31" s="567"/>
      <c r="C31" s="566"/>
      <c r="D31" s="566"/>
      <c r="E31" s="566"/>
      <c r="F31" s="566"/>
      <c r="G31" s="566"/>
      <c r="H31" s="372"/>
      <c r="I31" s="372">
        <f t="shared" si="1"/>
        <v>0</v>
      </c>
      <c r="J31" s="214">
        <f t="shared" si="2"/>
        <v>0</v>
      </c>
    </row>
    <row r="32" spans="2:10" ht="21.9" customHeight="1">
      <c r="B32" s="567"/>
      <c r="C32" s="566"/>
      <c r="D32" s="566"/>
      <c r="E32" s="566"/>
      <c r="F32" s="566"/>
      <c r="G32" s="566"/>
      <c r="H32" s="372"/>
      <c r="I32" s="372">
        <f t="shared" si="1"/>
        <v>0</v>
      </c>
      <c r="J32" s="214">
        <f t="shared" si="2"/>
        <v>0</v>
      </c>
    </row>
    <row r="33" spans="2:11" ht="21.9" customHeight="1">
      <c r="B33" s="567"/>
      <c r="C33" s="566"/>
      <c r="D33" s="566"/>
      <c r="E33" s="566"/>
      <c r="F33" s="566"/>
      <c r="G33" s="566"/>
      <c r="H33" s="372"/>
      <c r="I33" s="372">
        <f t="shared" si="1"/>
        <v>0</v>
      </c>
      <c r="J33" s="214">
        <f t="shared" si="2"/>
        <v>0</v>
      </c>
    </row>
    <row r="34" spans="2:11" ht="21.9" customHeight="1">
      <c r="B34" s="567"/>
      <c r="C34" s="566"/>
      <c r="D34" s="566"/>
      <c r="E34" s="566"/>
      <c r="F34" s="566"/>
      <c r="G34" s="566"/>
      <c r="H34" s="372"/>
      <c r="I34" s="372">
        <f t="shared" si="1"/>
        <v>0</v>
      </c>
      <c r="J34" s="214">
        <f t="shared" si="2"/>
        <v>0</v>
      </c>
    </row>
    <row r="35" spans="2:11" ht="21.9" customHeight="1">
      <c r="B35" s="567"/>
      <c r="C35" s="566"/>
      <c r="D35" s="566"/>
      <c r="E35" s="566"/>
      <c r="F35" s="566"/>
      <c r="G35" s="566"/>
      <c r="H35" s="372"/>
      <c r="I35" s="372">
        <f t="shared" si="1"/>
        <v>0</v>
      </c>
      <c r="J35" s="214">
        <f t="shared" si="2"/>
        <v>0</v>
      </c>
    </row>
    <row r="36" spans="2:11" ht="21.9" customHeight="1">
      <c r="B36" s="567"/>
      <c r="C36" s="566"/>
      <c r="D36" s="566"/>
      <c r="E36" s="566"/>
      <c r="F36" s="566"/>
      <c r="G36" s="566"/>
      <c r="H36" s="372"/>
      <c r="I36" s="372">
        <f t="shared" si="1"/>
        <v>0</v>
      </c>
      <c r="J36" s="214">
        <f t="shared" si="2"/>
        <v>0</v>
      </c>
    </row>
    <row r="37" spans="2:11" ht="21.9" customHeight="1">
      <c r="B37" s="567"/>
      <c r="C37" s="566"/>
      <c r="D37" s="566"/>
      <c r="E37" s="566"/>
      <c r="F37" s="566"/>
      <c r="G37" s="566"/>
      <c r="H37" s="372"/>
      <c r="I37" s="372">
        <f t="shared" si="1"/>
        <v>0</v>
      </c>
      <c r="J37" s="214">
        <f t="shared" si="2"/>
        <v>0</v>
      </c>
    </row>
    <row r="38" spans="2:11" ht="21.9" customHeight="1">
      <c r="B38" s="567"/>
      <c r="C38" s="566"/>
      <c r="D38" s="566"/>
      <c r="E38" s="566"/>
      <c r="F38" s="566"/>
      <c r="G38" s="566"/>
      <c r="H38" s="372"/>
      <c r="I38" s="372">
        <f t="shared" si="1"/>
        <v>0</v>
      </c>
      <c r="J38" s="214">
        <f t="shared" si="2"/>
        <v>0</v>
      </c>
    </row>
    <row r="39" spans="2:11" ht="21.9" customHeight="1">
      <c r="B39" s="567"/>
      <c r="C39" s="566"/>
      <c r="D39" s="566"/>
      <c r="E39" s="566"/>
      <c r="F39" s="566"/>
      <c r="G39" s="566"/>
      <c r="H39" s="372"/>
      <c r="I39" s="372">
        <f t="shared" si="1"/>
        <v>0</v>
      </c>
      <c r="J39" s="214">
        <f t="shared" si="2"/>
        <v>0</v>
      </c>
    </row>
    <row r="40" spans="2:11" ht="21.9" customHeight="1">
      <c r="B40" s="567"/>
      <c r="C40" s="566"/>
      <c r="D40" s="566"/>
      <c r="E40" s="566"/>
      <c r="F40" s="566"/>
      <c r="G40" s="566"/>
      <c r="H40" s="372"/>
      <c r="I40" s="372">
        <f t="shared" si="1"/>
        <v>0</v>
      </c>
      <c r="J40" s="214">
        <f t="shared" si="2"/>
        <v>0</v>
      </c>
    </row>
    <row r="41" spans="2:11" ht="21.9" customHeight="1">
      <c r="B41" s="567"/>
      <c r="C41" s="566"/>
      <c r="D41" s="566"/>
      <c r="E41" s="566"/>
      <c r="F41" s="566"/>
      <c r="G41" s="566"/>
      <c r="H41" s="372"/>
      <c r="I41" s="372">
        <f t="shared" si="1"/>
        <v>0</v>
      </c>
      <c r="J41" s="214">
        <f t="shared" si="2"/>
        <v>0</v>
      </c>
    </row>
    <row r="42" spans="2:11" ht="21.9" customHeight="1">
      <c r="B42" s="567"/>
      <c r="C42" s="566"/>
      <c r="D42" s="566"/>
      <c r="E42" s="566"/>
      <c r="F42" s="566"/>
      <c r="G42" s="566"/>
      <c r="H42" s="372"/>
      <c r="I42" s="372">
        <f t="shared" si="1"/>
        <v>0</v>
      </c>
      <c r="J42" s="214">
        <f t="shared" si="2"/>
        <v>0</v>
      </c>
    </row>
    <row r="43" spans="2:11" ht="21.9" customHeight="1" thickBot="1">
      <c r="B43" s="27"/>
      <c r="C43" s="328" t="s">
        <v>3546</v>
      </c>
      <c r="D43" s="27"/>
      <c r="E43" s="27"/>
      <c r="F43" s="27"/>
      <c r="G43" s="27"/>
      <c r="H43" s="105">
        <f>SUM(H10:H42)</f>
        <v>146441.91999999998</v>
      </c>
      <c r="I43" s="105">
        <f>SUM(I10:I42)</f>
        <v>146441.91999999998</v>
      </c>
      <c r="J43" s="239">
        <f>SUM(J10:J42)</f>
        <v>0</v>
      </c>
      <c r="K43" s="325"/>
    </row>
    <row r="44" spans="2:11" ht="13.8" thickTop="1">
      <c r="B44" t="s">
        <v>360</v>
      </c>
    </row>
    <row r="45" spans="2:11">
      <c r="B45" t="s">
        <v>361</v>
      </c>
    </row>
    <row r="46" spans="2:11">
      <c r="B46" t="s">
        <v>362</v>
      </c>
      <c r="H46" s="228"/>
    </row>
    <row r="48" spans="2:11">
      <c r="B48" t="s">
        <v>363</v>
      </c>
      <c r="E48" s="1533"/>
      <c r="F48" s="1533"/>
      <c r="G48" s="1533"/>
      <c r="H48" s="1533"/>
    </row>
    <row r="49" spans="2:10" ht="13.8">
      <c r="B49" s="1507" t="s">
        <v>1051</v>
      </c>
      <c r="C49" s="1507"/>
      <c r="D49" s="1507"/>
      <c r="E49" s="1507"/>
      <c r="F49" s="1507"/>
      <c r="G49" s="1507"/>
      <c r="H49" s="1507"/>
      <c r="I49" s="1507"/>
      <c r="J49" s="1507"/>
    </row>
    <row r="52" spans="2:10">
      <c r="I52" s="228"/>
    </row>
  </sheetData>
  <sheetProtection algorithmName="SHA-512" hashValue="sbDcwsPD5ix582vK4rMcJo9kUaR8HkkBMJ/03IgJh1JGm7o7yEpDrK6BdZgSPeUUwgfetjjiXDl703vWYCER/g==" saltValue="psGsNyGPV4kfb0cfFNkxm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B4:L52"/>
  <sheetViews>
    <sheetView zoomScaleNormal="100" zoomScaleSheetLayoutView="90" workbookViewId="0">
      <selection activeCell="B1" sqref="B1"/>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8" t="str">
        <f>'17-Budget Revenues'!B2:J2</f>
        <v>STATEMENT OF GENERAL BUDGET REVENUES 2019</v>
      </c>
      <c r="C4" s="1548"/>
      <c r="D4" s="1548"/>
      <c r="E4" s="1548"/>
      <c r="F4" s="1548"/>
      <c r="G4" s="1548"/>
      <c r="H4" s="1548"/>
      <c r="I4" s="1548"/>
      <c r="J4" s="1548"/>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2" t="s">
        <v>211</v>
      </c>
      <c r="C9" s="1552"/>
      <c r="D9" s="1552"/>
      <c r="E9" s="1552"/>
      <c r="F9" s="1552"/>
      <c r="G9" s="1552"/>
      <c r="H9" s="4" t="s">
        <v>677</v>
      </c>
      <c r="I9" s="4" t="s">
        <v>803</v>
      </c>
      <c r="J9" s="758" t="s">
        <v>345</v>
      </c>
    </row>
    <row r="10" spans="2:12" ht="21.9" customHeight="1" thickTop="1">
      <c r="B10" s="796" t="s">
        <v>3547</v>
      </c>
      <c r="C10" s="283"/>
      <c r="D10" s="283"/>
      <c r="E10" s="283"/>
      <c r="F10" s="283"/>
      <c r="G10" s="283"/>
      <c r="H10" s="63">
        <f>+'17a-Budget Revenues'!H43</f>
        <v>146441.91999999998</v>
      </c>
      <c r="I10" s="63">
        <f>+'17a-Budget Revenues'!I43</f>
        <v>146441.91999999998</v>
      </c>
      <c r="J10" s="64">
        <f>+'17a-Budget Revenues'!J43</f>
        <v>0</v>
      </c>
    </row>
    <row r="11" spans="2:12" ht="21.9" customHeight="1">
      <c r="B11" s="567"/>
      <c r="C11" s="566"/>
      <c r="D11" s="566"/>
      <c r="E11" s="566"/>
      <c r="F11" s="566"/>
      <c r="G11" s="566"/>
      <c r="H11" s="372"/>
      <c r="I11" s="372">
        <f t="shared" ref="I11:I42" si="0">+H11</f>
        <v>0</v>
      </c>
      <c r="J11" s="214">
        <f t="shared" ref="J11:J42" si="1">H11-I11</f>
        <v>0</v>
      </c>
      <c r="L11" s="1458" t="s">
        <v>3779</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3546</v>
      </c>
      <c r="D43" s="27"/>
      <c r="E43" s="27"/>
      <c r="F43" s="27"/>
      <c r="G43" s="27"/>
      <c r="H43" s="105">
        <f>SUM(H10:H42)</f>
        <v>146441.91999999998</v>
      </c>
      <c r="I43" s="105">
        <f>SUM(I10:I42)</f>
        <v>146441.91999999998</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3616</v>
      </c>
      <c r="C49" s="1507"/>
      <c r="D49" s="1507"/>
      <c r="E49" s="1507"/>
      <c r="F49" s="1507"/>
      <c r="G49" s="1507"/>
      <c r="H49" s="1507"/>
      <c r="I49" s="1507"/>
      <c r="J49" s="1507"/>
    </row>
    <row r="52" spans="2:10">
      <c r="I52" s="325"/>
    </row>
  </sheetData>
  <sheetProtection algorithmName="SHA-512" hashValue="c7wJWvwIYaZnmk7Aab8naetOoe3uux3BziY6gDZBZ1kVzYw53ZLJqbym/wV0SKM1PXcCnKqxDS6JRV3ydjnTCg==" saltValue="MFdcCofa6Cm5HIvk6fScl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B4:L52"/>
  <sheetViews>
    <sheetView zoomScaleNormal="100" zoomScaleSheetLayoutView="90" workbookViewId="0">
      <selection activeCell="B1" sqref="B1"/>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8" t="str">
        <f>'17-Budget Revenues'!B2:J2</f>
        <v>STATEMENT OF GENERAL BUDGET REVENUES 2019</v>
      </c>
      <c r="C4" s="1548"/>
      <c r="D4" s="1548"/>
      <c r="E4" s="1548"/>
      <c r="F4" s="1548"/>
      <c r="G4" s="1548"/>
      <c r="H4" s="1548"/>
      <c r="I4" s="1548"/>
      <c r="J4" s="1548"/>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2" t="s">
        <v>211</v>
      </c>
      <c r="C9" s="1552"/>
      <c r="D9" s="1552"/>
      <c r="E9" s="1552"/>
      <c r="F9" s="1552"/>
      <c r="G9" s="1552"/>
      <c r="H9" s="4" t="s">
        <v>677</v>
      </c>
      <c r="I9" s="4" t="s">
        <v>803</v>
      </c>
      <c r="J9" s="758" t="s">
        <v>345</v>
      </c>
    </row>
    <row r="10" spans="2:12" ht="21.9" customHeight="1" thickTop="1">
      <c r="B10" s="796" t="s">
        <v>3547</v>
      </c>
      <c r="C10" s="283"/>
      <c r="D10" s="283"/>
      <c r="E10" s="283"/>
      <c r="F10" s="283"/>
      <c r="G10" s="283"/>
      <c r="H10" s="63">
        <f>+'17a.1-Budget Revenues '!H43</f>
        <v>146441.91999999998</v>
      </c>
      <c r="I10" s="63">
        <f>+'17a.1-Budget Revenues '!I43</f>
        <v>146441.91999999998</v>
      </c>
      <c r="J10" s="64">
        <f>+'17a.1-Budget Revenues '!J43</f>
        <v>0</v>
      </c>
    </row>
    <row r="11" spans="2:12" ht="21.9" customHeight="1">
      <c r="B11" s="567"/>
      <c r="C11" s="566"/>
      <c r="D11" s="566"/>
      <c r="E11" s="566"/>
      <c r="F11" s="566"/>
      <c r="G11" s="566"/>
      <c r="H11" s="372"/>
      <c r="I11" s="372">
        <f t="shared" ref="I11:I42" si="0">+H11</f>
        <v>0</v>
      </c>
      <c r="J11" s="214">
        <f t="shared" ref="J11:J42" si="1">H11-I11</f>
        <v>0</v>
      </c>
      <c r="L11" s="1458" t="s">
        <v>3779</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3546</v>
      </c>
      <c r="D43" s="27"/>
      <c r="E43" s="27"/>
      <c r="F43" s="27"/>
      <c r="G43" s="27"/>
      <c r="H43" s="105">
        <f>SUM(H10:H42)</f>
        <v>146441.91999999998</v>
      </c>
      <c r="I43" s="105">
        <f>SUM(I10:I42)</f>
        <v>146441.91999999998</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3615</v>
      </c>
      <c r="C49" s="1507"/>
      <c r="D49" s="1507"/>
      <c r="E49" s="1507"/>
      <c r="F49" s="1507"/>
      <c r="G49" s="1507"/>
      <c r="H49" s="1507"/>
      <c r="I49" s="1507"/>
      <c r="J49" s="1507"/>
    </row>
    <row r="52" spans="2:10">
      <c r="I52" s="325"/>
    </row>
  </sheetData>
  <sheetProtection algorithmName="SHA-512" hashValue="RwEd7zlA2F0Ute7ElqWlGYBscGYVtH/OPcnNIx4FexXYrOXafHs5vi0YWnZwLIqFFQE80FeayROnQXxkIxH8MA==" saltValue="iuOLtgbPntkZtvG6WWMHJ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B4:L52"/>
  <sheetViews>
    <sheetView zoomScaleNormal="100" zoomScaleSheetLayoutView="90" workbookViewId="0">
      <selection activeCell="B1" sqref="B1"/>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8" t="str">
        <f>'17-Budget Revenues'!B2:J2</f>
        <v>STATEMENT OF GENERAL BUDGET REVENUES 2019</v>
      </c>
      <c r="C4" s="1548"/>
      <c r="D4" s="1548"/>
      <c r="E4" s="1548"/>
      <c r="F4" s="1548"/>
      <c r="G4" s="1548"/>
      <c r="H4" s="1548"/>
      <c r="I4" s="1548"/>
      <c r="J4" s="1548"/>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2" t="s">
        <v>211</v>
      </c>
      <c r="C9" s="1552"/>
      <c r="D9" s="1552"/>
      <c r="E9" s="1552"/>
      <c r="F9" s="1552"/>
      <c r="G9" s="1552"/>
      <c r="H9" s="4" t="s">
        <v>677</v>
      </c>
      <c r="I9" s="4" t="s">
        <v>803</v>
      </c>
      <c r="J9" s="758" t="s">
        <v>345</v>
      </c>
    </row>
    <row r="10" spans="2:12" ht="21.9" customHeight="1" thickTop="1">
      <c r="B10" s="796" t="s">
        <v>3547</v>
      </c>
      <c r="C10" s="283"/>
      <c r="D10" s="283"/>
      <c r="E10" s="283"/>
      <c r="F10" s="283"/>
      <c r="G10" s="283"/>
      <c r="H10" s="63">
        <f>+'17a.2-Budget Revenues'!H43</f>
        <v>146441.91999999998</v>
      </c>
      <c r="I10" s="63">
        <f>+'17a.2-Budget Revenues'!I43</f>
        <v>146441.91999999998</v>
      </c>
      <c r="J10" s="64">
        <f>+'17a.2-Budget Revenues'!J43</f>
        <v>0</v>
      </c>
    </row>
    <row r="11" spans="2:12" ht="21.9" customHeight="1">
      <c r="B11" s="567"/>
      <c r="C11" s="566"/>
      <c r="D11" s="566"/>
      <c r="E11" s="566"/>
      <c r="F11" s="566"/>
      <c r="G11" s="566"/>
      <c r="H11" s="372"/>
      <c r="I11" s="372">
        <f t="shared" ref="I11:I42" si="0">+H11</f>
        <v>0</v>
      </c>
      <c r="J11" s="214">
        <f t="shared" ref="J11:J42" si="1">H11-I11</f>
        <v>0</v>
      </c>
      <c r="L11" s="1458" t="s">
        <v>3779</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3546</v>
      </c>
      <c r="D43" s="27"/>
      <c r="E43" s="27"/>
      <c r="F43" s="27"/>
      <c r="G43" s="27"/>
      <c r="H43" s="105">
        <f>SUM(H10:H42)</f>
        <v>146441.91999999998</v>
      </c>
      <c r="I43" s="105">
        <f>SUM(I10:I42)</f>
        <v>146441.91999999998</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3617</v>
      </c>
      <c r="C49" s="1507"/>
      <c r="D49" s="1507"/>
      <c r="E49" s="1507"/>
      <c r="F49" s="1507"/>
      <c r="G49" s="1507"/>
      <c r="H49" s="1507"/>
      <c r="I49" s="1507"/>
      <c r="J49" s="1507"/>
    </row>
    <row r="52" spans="2:10">
      <c r="I52" s="325"/>
    </row>
  </sheetData>
  <sheetProtection algorithmName="SHA-512" hashValue="RWjE31OLS354lic3HpfiQBBGp7jH6rxfsKvCS225bPrJQtQmrV2+9m3EHTn4EwlT85i2FVottpzfbpycG4W00Q==" saltValue="8EJx/OFjQujDLttrBbtIW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B4:L52"/>
  <sheetViews>
    <sheetView zoomScaleNormal="100" zoomScaleSheetLayoutView="90" workbookViewId="0">
      <selection activeCell="B7" sqref="B7:J7"/>
    </sheetView>
  </sheetViews>
  <sheetFormatPr defaultColWidth="9.109375" defaultRowHeight="13.2"/>
  <cols>
    <col min="1" max="3" width="4.6640625" style="322" customWidth="1"/>
    <col min="4" max="6" width="9.109375" style="322"/>
    <col min="7" max="7" width="9.109375" style="322" customWidth="1"/>
    <col min="8" max="9" width="16.6640625" style="322" customWidth="1"/>
    <col min="10" max="10" width="19.5546875" style="322" customWidth="1"/>
    <col min="11" max="16384" width="9.109375" style="322"/>
  </cols>
  <sheetData>
    <row r="4" spans="2:12" ht="22.8">
      <c r="B4" s="1548" t="str">
        <f>'17-Budget Revenues'!B2:J2</f>
        <v>STATEMENT OF GENERAL BUDGET REVENUES 2019</v>
      </c>
      <c r="C4" s="1548"/>
      <c r="D4" s="1548"/>
      <c r="E4" s="1548"/>
      <c r="F4" s="1548"/>
      <c r="G4" s="1548"/>
      <c r="H4" s="1548"/>
      <c r="I4" s="1548"/>
      <c r="J4" s="1548"/>
    </row>
    <row r="5" spans="2:12" ht="13.8">
      <c r="B5" s="1507" t="s">
        <v>343</v>
      </c>
      <c r="C5" s="1507"/>
      <c r="D5" s="1507"/>
      <c r="E5" s="1507"/>
      <c r="F5" s="1507"/>
      <c r="G5" s="1507"/>
      <c r="H5" s="1507"/>
      <c r="I5" s="1507"/>
      <c r="J5" s="1507"/>
    </row>
    <row r="7" spans="2:12" ht="15.6">
      <c r="B7" s="1542" t="s">
        <v>344</v>
      </c>
      <c r="C7" s="1542"/>
      <c r="D7" s="1542"/>
      <c r="E7" s="1542"/>
      <c r="F7" s="1542"/>
      <c r="G7" s="1542"/>
      <c r="H7" s="1542"/>
      <c r="I7" s="1542"/>
      <c r="J7" s="1542"/>
    </row>
    <row r="8" spans="2:12" ht="8.25" customHeight="1" thickBot="1">
      <c r="B8" s="10"/>
      <c r="C8" s="10"/>
      <c r="D8" s="10"/>
      <c r="E8" s="10"/>
      <c r="F8" s="10"/>
      <c r="G8" s="10"/>
      <c r="H8" s="10"/>
      <c r="I8" s="10"/>
      <c r="J8" s="10"/>
    </row>
    <row r="9" spans="2:12" ht="32.1" customHeight="1" thickTop="1" thickBot="1">
      <c r="B9" s="1552" t="s">
        <v>211</v>
      </c>
      <c r="C9" s="1552"/>
      <c r="D9" s="1552"/>
      <c r="E9" s="1552"/>
      <c r="F9" s="1552"/>
      <c r="G9" s="1552"/>
      <c r="H9" s="4" t="s">
        <v>677</v>
      </c>
      <c r="I9" s="4" t="s">
        <v>803</v>
      </c>
      <c r="J9" s="758" t="s">
        <v>345</v>
      </c>
    </row>
    <row r="10" spans="2:12" ht="21.9" customHeight="1" thickTop="1">
      <c r="B10" s="796" t="s">
        <v>3547</v>
      </c>
      <c r="C10" s="283"/>
      <c r="D10" s="283"/>
      <c r="E10" s="283"/>
      <c r="F10" s="283"/>
      <c r="G10" s="283"/>
      <c r="H10" s="63">
        <f>+'17a.3-Budget Revenues'!H43</f>
        <v>146441.91999999998</v>
      </c>
      <c r="I10" s="63">
        <f>+'17a.3-Budget Revenues'!I43</f>
        <v>146441.91999999998</v>
      </c>
      <c r="J10" s="64">
        <f>+'17a.3-Budget Revenues'!J43</f>
        <v>0</v>
      </c>
    </row>
    <row r="11" spans="2:12" ht="21.9" customHeight="1">
      <c r="B11" s="567"/>
      <c r="C11" s="566"/>
      <c r="D11" s="566"/>
      <c r="E11" s="566"/>
      <c r="F11" s="566"/>
      <c r="G11" s="566"/>
      <c r="H11" s="372"/>
      <c r="I11" s="372">
        <f t="shared" ref="I11:I42" si="0">+H11</f>
        <v>0</v>
      </c>
      <c r="J11" s="214">
        <f t="shared" ref="J11:J42" si="1">H11-I11</f>
        <v>0</v>
      </c>
      <c r="L11" s="1458" t="s">
        <v>3779</v>
      </c>
    </row>
    <row r="12" spans="2:12" ht="21.9" customHeight="1">
      <c r="B12" s="567"/>
      <c r="C12" s="566"/>
      <c r="D12" s="566"/>
      <c r="E12" s="566"/>
      <c r="F12" s="566"/>
      <c r="G12" s="566"/>
      <c r="H12" s="372"/>
      <c r="I12" s="372">
        <f t="shared" si="0"/>
        <v>0</v>
      </c>
      <c r="J12" s="214">
        <f t="shared" si="1"/>
        <v>0</v>
      </c>
    </row>
    <row r="13" spans="2:12" ht="21.9" customHeight="1">
      <c r="B13" s="567"/>
      <c r="C13" s="566"/>
      <c r="D13" s="566"/>
      <c r="E13" s="566"/>
      <c r="F13" s="566"/>
      <c r="G13" s="566"/>
      <c r="H13" s="372"/>
      <c r="I13" s="372">
        <f t="shared" si="0"/>
        <v>0</v>
      </c>
      <c r="J13" s="214">
        <f t="shared" si="1"/>
        <v>0</v>
      </c>
    </row>
    <row r="14" spans="2:12" ht="21.9" customHeight="1">
      <c r="B14" s="567"/>
      <c r="C14" s="566"/>
      <c r="D14" s="566"/>
      <c r="E14" s="566"/>
      <c r="F14" s="566"/>
      <c r="G14" s="566"/>
      <c r="H14" s="372"/>
      <c r="I14" s="372">
        <f t="shared" si="0"/>
        <v>0</v>
      </c>
      <c r="J14" s="214">
        <f t="shared" si="1"/>
        <v>0</v>
      </c>
    </row>
    <row r="15" spans="2:12" ht="21.9" customHeight="1">
      <c r="B15" s="567"/>
      <c r="C15" s="566"/>
      <c r="D15" s="566"/>
      <c r="E15" s="566"/>
      <c r="F15" s="566"/>
      <c r="G15" s="566"/>
      <c r="H15" s="372"/>
      <c r="I15" s="372">
        <f t="shared" si="0"/>
        <v>0</v>
      </c>
      <c r="J15" s="214">
        <f t="shared" si="1"/>
        <v>0</v>
      </c>
    </row>
    <row r="16" spans="2:12" ht="21.9" customHeight="1">
      <c r="B16" s="567"/>
      <c r="C16" s="566"/>
      <c r="D16" s="566"/>
      <c r="E16" s="566"/>
      <c r="F16" s="566"/>
      <c r="G16" s="566"/>
      <c r="H16" s="372"/>
      <c r="I16" s="372">
        <f t="shared" si="0"/>
        <v>0</v>
      </c>
      <c r="J16" s="214">
        <f t="shared" si="1"/>
        <v>0</v>
      </c>
    </row>
    <row r="17" spans="2:10" ht="21.9" customHeight="1">
      <c r="B17" s="567"/>
      <c r="C17" s="566"/>
      <c r="D17" s="566"/>
      <c r="E17" s="566"/>
      <c r="F17" s="566"/>
      <c r="G17" s="566"/>
      <c r="H17" s="372"/>
      <c r="I17" s="372">
        <f t="shared" si="0"/>
        <v>0</v>
      </c>
      <c r="J17" s="214">
        <f t="shared" si="1"/>
        <v>0</v>
      </c>
    </row>
    <row r="18" spans="2:10" ht="21.9" customHeight="1">
      <c r="B18" s="567"/>
      <c r="C18" s="566"/>
      <c r="D18" s="566"/>
      <c r="E18" s="566"/>
      <c r="F18" s="566"/>
      <c r="G18" s="566"/>
      <c r="H18" s="372"/>
      <c r="I18" s="372">
        <f t="shared" si="0"/>
        <v>0</v>
      </c>
      <c r="J18" s="214">
        <f t="shared" si="1"/>
        <v>0</v>
      </c>
    </row>
    <row r="19" spans="2:10" ht="21.9" customHeight="1">
      <c r="B19" s="567"/>
      <c r="C19" s="566"/>
      <c r="D19" s="566"/>
      <c r="E19" s="566"/>
      <c r="F19" s="566"/>
      <c r="G19" s="566"/>
      <c r="H19" s="372"/>
      <c r="I19" s="372">
        <f t="shared" si="0"/>
        <v>0</v>
      </c>
      <c r="J19" s="214">
        <f t="shared" si="1"/>
        <v>0</v>
      </c>
    </row>
    <row r="20" spans="2:10" ht="21.9" customHeight="1">
      <c r="B20" s="567"/>
      <c r="C20" s="566"/>
      <c r="D20" s="566"/>
      <c r="E20" s="566"/>
      <c r="F20" s="566"/>
      <c r="G20" s="566"/>
      <c r="H20" s="372"/>
      <c r="I20" s="372">
        <f t="shared" si="0"/>
        <v>0</v>
      </c>
      <c r="J20" s="214">
        <f t="shared" si="1"/>
        <v>0</v>
      </c>
    </row>
    <row r="21" spans="2:10" ht="21.9" customHeight="1">
      <c r="B21" s="567"/>
      <c r="C21" s="566"/>
      <c r="D21" s="566"/>
      <c r="E21" s="566"/>
      <c r="F21" s="566"/>
      <c r="G21" s="566"/>
      <c r="H21" s="372"/>
      <c r="I21" s="372">
        <f t="shared" si="0"/>
        <v>0</v>
      </c>
      <c r="J21" s="214">
        <f t="shared" si="1"/>
        <v>0</v>
      </c>
    </row>
    <row r="22" spans="2:10" ht="21.9" customHeight="1">
      <c r="B22" s="567"/>
      <c r="C22" s="566"/>
      <c r="D22" s="566"/>
      <c r="E22" s="566"/>
      <c r="F22" s="566"/>
      <c r="G22" s="566"/>
      <c r="H22" s="372"/>
      <c r="I22" s="372">
        <f t="shared" si="0"/>
        <v>0</v>
      </c>
      <c r="J22" s="214">
        <f t="shared" si="1"/>
        <v>0</v>
      </c>
    </row>
    <row r="23" spans="2:10" ht="21.9" customHeight="1">
      <c r="B23" s="567"/>
      <c r="C23" s="566"/>
      <c r="D23" s="566"/>
      <c r="E23" s="566"/>
      <c r="F23" s="566"/>
      <c r="G23" s="566"/>
      <c r="H23" s="372"/>
      <c r="I23" s="372">
        <f t="shared" si="0"/>
        <v>0</v>
      </c>
      <c r="J23" s="214">
        <f t="shared" si="1"/>
        <v>0</v>
      </c>
    </row>
    <row r="24" spans="2:10" ht="21.9" customHeight="1">
      <c r="B24" s="567"/>
      <c r="C24" s="566"/>
      <c r="D24" s="566"/>
      <c r="E24" s="566"/>
      <c r="F24" s="566"/>
      <c r="G24" s="566"/>
      <c r="H24" s="372"/>
      <c r="I24" s="372">
        <f t="shared" si="0"/>
        <v>0</v>
      </c>
      <c r="J24" s="214">
        <f t="shared" si="1"/>
        <v>0</v>
      </c>
    </row>
    <row r="25" spans="2:10" ht="21.9" customHeight="1">
      <c r="B25" s="567"/>
      <c r="C25" s="566"/>
      <c r="D25" s="566"/>
      <c r="E25" s="566"/>
      <c r="F25" s="566"/>
      <c r="G25" s="566"/>
      <c r="H25" s="372"/>
      <c r="I25" s="372">
        <f t="shared" si="0"/>
        <v>0</v>
      </c>
      <c r="J25" s="214">
        <f t="shared" si="1"/>
        <v>0</v>
      </c>
    </row>
    <row r="26" spans="2:10" ht="21.9" customHeight="1">
      <c r="B26" s="567"/>
      <c r="C26" s="566"/>
      <c r="D26" s="566"/>
      <c r="E26" s="566"/>
      <c r="F26" s="566"/>
      <c r="G26" s="566"/>
      <c r="H26" s="372"/>
      <c r="I26" s="372">
        <f t="shared" si="0"/>
        <v>0</v>
      </c>
      <c r="J26" s="214">
        <f t="shared" si="1"/>
        <v>0</v>
      </c>
    </row>
    <row r="27" spans="2:10" ht="21.9" customHeight="1">
      <c r="B27" s="567"/>
      <c r="C27" s="566"/>
      <c r="D27" s="566"/>
      <c r="E27" s="566"/>
      <c r="F27" s="566"/>
      <c r="G27" s="566"/>
      <c r="H27" s="372"/>
      <c r="I27" s="372">
        <f t="shared" si="0"/>
        <v>0</v>
      </c>
      <c r="J27" s="214">
        <f t="shared" si="1"/>
        <v>0</v>
      </c>
    </row>
    <row r="28" spans="2:10" ht="21.9" customHeight="1">
      <c r="B28" s="567"/>
      <c r="C28" s="566"/>
      <c r="D28" s="566"/>
      <c r="E28" s="566"/>
      <c r="F28" s="566"/>
      <c r="G28" s="566"/>
      <c r="H28" s="372"/>
      <c r="I28" s="372">
        <f t="shared" si="0"/>
        <v>0</v>
      </c>
      <c r="J28" s="214">
        <f t="shared" si="1"/>
        <v>0</v>
      </c>
    </row>
    <row r="29" spans="2:10" ht="21.9" customHeight="1">
      <c r="B29" s="567"/>
      <c r="C29" s="566"/>
      <c r="D29" s="566"/>
      <c r="E29" s="566"/>
      <c r="F29" s="566"/>
      <c r="G29" s="566"/>
      <c r="H29" s="372"/>
      <c r="I29" s="372">
        <f t="shared" si="0"/>
        <v>0</v>
      </c>
      <c r="J29" s="214">
        <f t="shared" si="1"/>
        <v>0</v>
      </c>
    </row>
    <row r="30" spans="2:10" ht="21.9" customHeight="1">
      <c r="B30" s="567"/>
      <c r="C30" s="566"/>
      <c r="D30" s="566"/>
      <c r="E30" s="566"/>
      <c r="F30" s="566"/>
      <c r="G30" s="566"/>
      <c r="H30" s="372"/>
      <c r="I30" s="372">
        <f t="shared" si="0"/>
        <v>0</v>
      </c>
      <c r="J30" s="214">
        <f t="shared" si="1"/>
        <v>0</v>
      </c>
    </row>
    <row r="31" spans="2:10" ht="21.9" customHeight="1">
      <c r="B31" s="567"/>
      <c r="C31" s="566"/>
      <c r="D31" s="566"/>
      <c r="E31" s="566"/>
      <c r="F31" s="566"/>
      <c r="G31" s="566"/>
      <c r="H31" s="372"/>
      <c r="I31" s="372">
        <f t="shared" si="0"/>
        <v>0</v>
      </c>
      <c r="J31" s="214">
        <f t="shared" si="1"/>
        <v>0</v>
      </c>
    </row>
    <row r="32" spans="2:10" ht="21.9" customHeight="1">
      <c r="B32" s="567"/>
      <c r="C32" s="566"/>
      <c r="D32" s="566"/>
      <c r="E32" s="566"/>
      <c r="F32" s="566"/>
      <c r="G32" s="566"/>
      <c r="H32" s="372"/>
      <c r="I32" s="372">
        <f t="shared" si="0"/>
        <v>0</v>
      </c>
      <c r="J32" s="214">
        <f t="shared" si="1"/>
        <v>0</v>
      </c>
    </row>
    <row r="33" spans="2:11" ht="21.9" customHeight="1">
      <c r="B33" s="567"/>
      <c r="C33" s="566"/>
      <c r="D33" s="566"/>
      <c r="E33" s="566"/>
      <c r="F33" s="566"/>
      <c r="G33" s="566"/>
      <c r="H33" s="372"/>
      <c r="I33" s="372">
        <f t="shared" si="0"/>
        <v>0</v>
      </c>
      <c r="J33" s="214">
        <f t="shared" si="1"/>
        <v>0</v>
      </c>
    </row>
    <row r="34" spans="2:11" ht="21.9" customHeight="1">
      <c r="B34" s="567"/>
      <c r="C34" s="566"/>
      <c r="D34" s="566"/>
      <c r="E34" s="566"/>
      <c r="F34" s="566"/>
      <c r="G34" s="566"/>
      <c r="H34" s="372"/>
      <c r="I34" s="372">
        <f t="shared" si="0"/>
        <v>0</v>
      </c>
      <c r="J34" s="214">
        <f t="shared" si="1"/>
        <v>0</v>
      </c>
    </row>
    <row r="35" spans="2:11" ht="21.9" customHeight="1">
      <c r="B35" s="567"/>
      <c r="C35" s="566"/>
      <c r="D35" s="566"/>
      <c r="E35" s="566"/>
      <c r="F35" s="566"/>
      <c r="G35" s="566"/>
      <c r="H35" s="372"/>
      <c r="I35" s="372">
        <f t="shared" si="0"/>
        <v>0</v>
      </c>
      <c r="J35" s="214">
        <f t="shared" si="1"/>
        <v>0</v>
      </c>
    </row>
    <row r="36" spans="2:11" ht="21.9" customHeight="1">
      <c r="B36" s="567"/>
      <c r="C36" s="566"/>
      <c r="D36" s="566"/>
      <c r="E36" s="566"/>
      <c r="F36" s="566"/>
      <c r="G36" s="566"/>
      <c r="H36" s="372"/>
      <c r="I36" s="372">
        <f t="shared" si="0"/>
        <v>0</v>
      </c>
      <c r="J36" s="214">
        <f t="shared" si="1"/>
        <v>0</v>
      </c>
    </row>
    <row r="37" spans="2:11" ht="21.9" customHeight="1">
      <c r="B37" s="567"/>
      <c r="C37" s="566"/>
      <c r="D37" s="566"/>
      <c r="E37" s="566"/>
      <c r="F37" s="566"/>
      <c r="G37" s="566"/>
      <c r="H37" s="372"/>
      <c r="I37" s="372">
        <f t="shared" si="0"/>
        <v>0</v>
      </c>
      <c r="J37" s="214">
        <f t="shared" si="1"/>
        <v>0</v>
      </c>
    </row>
    <row r="38" spans="2:11" ht="21.9" customHeight="1">
      <c r="B38" s="567"/>
      <c r="C38" s="566"/>
      <c r="D38" s="566"/>
      <c r="E38" s="566"/>
      <c r="F38" s="566"/>
      <c r="G38" s="566"/>
      <c r="H38" s="372"/>
      <c r="I38" s="372">
        <f t="shared" si="0"/>
        <v>0</v>
      </c>
      <c r="J38" s="214">
        <f t="shared" si="1"/>
        <v>0</v>
      </c>
    </row>
    <row r="39" spans="2:11" ht="21.9" customHeight="1">
      <c r="B39" s="567"/>
      <c r="C39" s="566"/>
      <c r="D39" s="566"/>
      <c r="E39" s="566"/>
      <c r="F39" s="566"/>
      <c r="G39" s="566"/>
      <c r="H39" s="372"/>
      <c r="I39" s="372">
        <f t="shared" si="0"/>
        <v>0</v>
      </c>
      <c r="J39" s="214">
        <f t="shared" si="1"/>
        <v>0</v>
      </c>
    </row>
    <row r="40" spans="2:11" ht="21.9" customHeight="1">
      <c r="B40" s="567"/>
      <c r="C40" s="566"/>
      <c r="D40" s="566"/>
      <c r="E40" s="566"/>
      <c r="F40" s="566"/>
      <c r="G40" s="566"/>
      <c r="H40" s="372"/>
      <c r="I40" s="372">
        <f t="shared" si="0"/>
        <v>0</v>
      </c>
      <c r="J40" s="214">
        <f t="shared" si="1"/>
        <v>0</v>
      </c>
    </row>
    <row r="41" spans="2:11" ht="21.9" customHeight="1">
      <c r="B41" s="567"/>
      <c r="C41" s="566"/>
      <c r="D41" s="566"/>
      <c r="E41" s="566"/>
      <c r="F41" s="566"/>
      <c r="G41" s="566"/>
      <c r="H41" s="372"/>
      <c r="I41" s="372">
        <f t="shared" si="0"/>
        <v>0</v>
      </c>
      <c r="J41" s="214">
        <f t="shared" si="1"/>
        <v>0</v>
      </c>
    </row>
    <row r="42" spans="2:11" ht="21.9" customHeight="1">
      <c r="B42" s="567"/>
      <c r="C42" s="566"/>
      <c r="D42" s="566"/>
      <c r="E42" s="566"/>
      <c r="F42" s="566"/>
      <c r="G42" s="566"/>
      <c r="H42" s="372"/>
      <c r="I42" s="372">
        <f t="shared" si="0"/>
        <v>0</v>
      </c>
      <c r="J42" s="214">
        <f t="shared" si="1"/>
        <v>0</v>
      </c>
    </row>
    <row r="43" spans="2:11" ht="21.9" customHeight="1" thickBot="1">
      <c r="B43" s="27"/>
      <c r="C43" s="328" t="s">
        <v>3572</v>
      </c>
      <c r="D43" s="27"/>
      <c r="E43" s="27"/>
      <c r="F43" s="27"/>
      <c r="G43" s="27"/>
      <c r="H43" s="105">
        <f>SUM(H10:H42)</f>
        <v>146441.91999999998</v>
      </c>
      <c r="I43" s="105">
        <f>SUM(I10:I42)</f>
        <v>146441.91999999998</v>
      </c>
      <c r="J43" s="239">
        <f>SUM(J10:J42)</f>
        <v>0</v>
      </c>
      <c r="K43" s="325"/>
    </row>
    <row r="44" spans="2:11" ht="13.8" thickTop="1">
      <c r="B44" s="322" t="s">
        <v>360</v>
      </c>
    </row>
    <row r="45" spans="2:11">
      <c r="B45" s="322" t="s">
        <v>361</v>
      </c>
    </row>
    <row r="46" spans="2:11">
      <c r="B46" s="322" t="s">
        <v>362</v>
      </c>
      <c r="H46" s="325"/>
    </row>
    <row r="48" spans="2:11">
      <c r="B48" s="322" t="s">
        <v>363</v>
      </c>
      <c r="E48" s="1533"/>
      <c r="F48" s="1533"/>
      <c r="G48" s="1533"/>
      <c r="H48" s="1533"/>
    </row>
    <row r="49" spans="2:10" ht="13.8">
      <c r="B49" s="1507" t="s">
        <v>3618</v>
      </c>
      <c r="C49" s="1507"/>
      <c r="D49" s="1507"/>
      <c r="E49" s="1507"/>
      <c r="F49" s="1507"/>
      <c r="G49" s="1507"/>
      <c r="H49" s="1507"/>
      <c r="I49" s="1507"/>
      <c r="J49" s="1507"/>
    </row>
    <row r="52" spans="2:10">
      <c r="I52" s="325"/>
    </row>
  </sheetData>
  <sheetProtection algorithmName="SHA-512" hashValue="95uTHpJCAD0eDB8p00K6ZGxTbgo0xRbrlTgS+WVVz/iyyS22jiII4fSSyU5tdkStdhD3gTHFb591334XZNsEPA==" saltValue="ZqwbzEksLeMgaY8a+1zY4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B4:L54"/>
  <sheetViews>
    <sheetView workbookViewId="0">
      <selection activeCell="I16" sqref="I16"/>
    </sheetView>
  </sheetViews>
  <sheetFormatPr defaultRowHeight="13.2"/>
  <cols>
    <col min="1" max="1" width="3.6640625" customWidth="1"/>
    <col min="2" max="4" width="4.6640625" customWidth="1"/>
    <col min="7" max="7" width="23.5546875" customWidth="1"/>
    <col min="9" max="10" width="16.6640625" customWidth="1"/>
    <col min="11" max="12" width="13.5546875" bestFit="1" customWidth="1"/>
  </cols>
  <sheetData>
    <row r="4" spans="2:12" ht="20.399999999999999">
      <c r="B4" s="1508" t="str">
        <f>"STATEMENT OF GENERAL BUDGET APPROPRIATIONS "&amp;TEXT('KEY INPUTS'!D34,"0")</f>
        <v>STATEMENT OF GENERAL BUDGET APPROPRIATIONS 2019</v>
      </c>
      <c r="C4" s="1508"/>
      <c r="D4" s="1508"/>
      <c r="E4" s="1508"/>
      <c r="F4" s="1508"/>
      <c r="G4" s="1508"/>
      <c r="H4" s="1508"/>
      <c r="I4" s="1508"/>
      <c r="J4" s="1508"/>
    </row>
    <row r="5" spans="2:12" ht="13.8" thickBot="1">
      <c r="B5" s="10"/>
      <c r="C5" s="10"/>
      <c r="D5" s="10"/>
      <c r="E5" s="10"/>
      <c r="F5" s="10"/>
      <c r="G5" s="10"/>
      <c r="H5" s="10"/>
      <c r="I5" s="10"/>
      <c r="J5" s="10"/>
    </row>
    <row r="6" spans="2:12" ht="21.9" customHeight="1" thickTop="1">
      <c r="B6" s="283" t="str">
        <f>TEXT('KEY INPUTS'!D34,"0")&amp;" Budget as Adopted"</f>
        <v>2019 Budget as Adopted</v>
      </c>
      <c r="C6" s="22"/>
      <c r="D6" s="22"/>
      <c r="E6" s="22"/>
      <c r="F6" s="22"/>
      <c r="G6" s="22"/>
      <c r="H6" s="22"/>
      <c r="I6" s="50" t="s">
        <v>1052</v>
      </c>
      <c r="J6" s="221">
        <f>+'17-Budget Revenues'!H22-J7</f>
        <v>61358733.769999996</v>
      </c>
    </row>
    <row r="7" spans="2:12" ht="21.9" customHeight="1" thickBot="1">
      <c r="B7" s="281" t="str">
        <f>TEXT('KEY INPUTS'!D34,"0")&amp;" Budget - Added by N.J.S. 40A:4-87"</f>
        <v>2019 Budget - Added by N.J.S. 40A:4-87</v>
      </c>
      <c r="C7" s="5"/>
      <c r="D7" s="5"/>
      <c r="E7" s="5"/>
      <c r="F7" s="5"/>
      <c r="G7" s="5"/>
      <c r="H7" s="5"/>
      <c r="I7" s="49" t="s">
        <v>1053</v>
      </c>
      <c r="J7" s="237">
        <f>+'17a Totals-Budget Revenues'!H43</f>
        <v>146441.91999999998</v>
      </c>
    </row>
    <row r="8" spans="2:12" ht="21.9" customHeight="1">
      <c r="B8" s="281" t="str">
        <f>"Appropriated for "&amp;TEXT('KEY INPUTS'!D34,"0")&amp;" (Budget Statement Item 9)"</f>
        <v>Appropriated for 2019 (Budget Statement Item 9)</v>
      </c>
      <c r="C8" s="5"/>
      <c r="D8" s="5"/>
      <c r="E8" s="5"/>
      <c r="F8" s="5"/>
      <c r="G8" s="5"/>
      <c r="H8" s="5"/>
      <c r="I8" s="49" t="s">
        <v>907</v>
      </c>
      <c r="J8" s="223">
        <f>+J7+J6</f>
        <v>61505175.689999998</v>
      </c>
      <c r="K8" s="228"/>
      <c r="L8" s="228"/>
    </row>
    <row r="9" spans="2:12" ht="21.9"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908</v>
      </c>
      <c r="J9" s="585"/>
      <c r="K9" s="228"/>
    </row>
    <row r="10" spans="2:12" ht="21.9" customHeight="1">
      <c r="B10" s="5" t="s">
        <v>982</v>
      </c>
      <c r="C10" s="5"/>
      <c r="D10" s="5"/>
      <c r="E10" s="5"/>
      <c r="F10" s="5"/>
      <c r="G10" s="5"/>
      <c r="H10" s="5"/>
      <c r="I10" s="49" t="s">
        <v>909</v>
      </c>
      <c r="J10" s="223">
        <f>+J9+J8</f>
        <v>61505175.689999998</v>
      </c>
      <c r="K10" s="228"/>
      <c r="L10" s="228"/>
    </row>
    <row r="11" spans="2:12" ht="21.9" customHeight="1" thickBot="1">
      <c r="B11" s="5" t="s">
        <v>983</v>
      </c>
      <c r="C11" s="5"/>
      <c r="D11" s="5"/>
      <c r="E11" s="5"/>
      <c r="F11" s="5"/>
      <c r="G11" s="5"/>
      <c r="H11" s="5"/>
      <c r="I11" s="49" t="s">
        <v>910</v>
      </c>
      <c r="J11" s="585"/>
      <c r="L11" s="228"/>
    </row>
    <row r="12" spans="2:12" ht="21.9" customHeight="1">
      <c r="B12" s="5"/>
      <c r="C12" s="5" t="s">
        <v>917</v>
      </c>
      <c r="D12" s="5"/>
      <c r="E12" s="5"/>
      <c r="F12" s="5"/>
      <c r="G12" s="5"/>
      <c r="H12" s="5"/>
      <c r="I12" s="49" t="s">
        <v>911</v>
      </c>
      <c r="J12" s="223">
        <f>+J10+J11</f>
        <v>61505175.689999998</v>
      </c>
      <c r="K12" s="228"/>
    </row>
    <row r="13" spans="2:12" ht="21.9" customHeight="1">
      <c r="B13" s="5" t="s">
        <v>918</v>
      </c>
      <c r="C13" s="5"/>
      <c r="D13" s="5"/>
      <c r="E13" s="5"/>
      <c r="F13" s="5"/>
      <c r="G13" s="5"/>
      <c r="H13" s="5"/>
      <c r="I13" s="49"/>
      <c r="J13" s="74"/>
    </row>
    <row r="14" spans="2:12" ht="21.9" customHeight="1">
      <c r="B14" s="5"/>
      <c r="C14" s="5" t="s">
        <v>919</v>
      </c>
      <c r="D14" s="5"/>
      <c r="E14" s="5"/>
      <c r="F14" s="5"/>
      <c r="G14" s="5"/>
      <c r="H14" s="5" t="s">
        <v>912</v>
      </c>
      <c r="I14" s="372">
        <f>55594424.82+470490.89</f>
        <v>56064915.710000001</v>
      </c>
      <c r="J14" s="74"/>
      <c r="K14" s="228"/>
    </row>
    <row r="15" spans="2:12" ht="21.9" customHeight="1">
      <c r="B15" s="5"/>
      <c r="C15" s="5" t="s">
        <v>920</v>
      </c>
      <c r="D15" s="5"/>
      <c r="E15" s="5"/>
      <c r="F15" s="5"/>
      <c r="G15" s="5"/>
      <c r="H15" s="5" t="s">
        <v>913</v>
      </c>
      <c r="I15" s="372">
        <v>2442671</v>
      </c>
      <c r="J15" s="74"/>
      <c r="K15" s="228"/>
    </row>
    <row r="16" spans="2:12" ht="21.9" customHeight="1" thickBot="1">
      <c r="B16" s="5"/>
      <c r="C16" s="5" t="s">
        <v>921</v>
      </c>
      <c r="D16" s="5"/>
      <c r="E16" s="5"/>
      <c r="F16" s="5"/>
      <c r="G16" s="5"/>
      <c r="H16" s="5" t="s">
        <v>914</v>
      </c>
      <c r="I16" s="586">
        <v>2993899.2000000011</v>
      </c>
      <c r="J16" s="74"/>
      <c r="K16" s="228"/>
    </row>
    <row r="17" spans="2:12" ht="21.9" customHeight="1" thickBot="1">
      <c r="B17" s="5"/>
      <c r="C17" s="5"/>
      <c r="D17" s="5" t="s">
        <v>922</v>
      </c>
      <c r="E17" s="5"/>
      <c r="F17" s="5"/>
      <c r="G17" s="5"/>
      <c r="H17" s="5"/>
      <c r="I17" s="75" t="s">
        <v>915</v>
      </c>
      <c r="J17" s="237">
        <f>SUM(I14:I16)</f>
        <v>61501485.910000004</v>
      </c>
      <c r="K17" s="228"/>
    </row>
    <row r="18" spans="2:12" ht="21.9" customHeight="1" thickBot="1">
      <c r="B18" s="27" t="s">
        <v>981</v>
      </c>
      <c r="C18" s="27"/>
      <c r="D18" s="27"/>
      <c r="E18" s="27"/>
      <c r="F18" s="27"/>
      <c r="G18" s="27"/>
      <c r="H18" s="27"/>
      <c r="I18" s="77" t="s">
        <v>916</v>
      </c>
      <c r="J18" s="234">
        <f>+J12-J17</f>
        <v>3689.7799999937415</v>
      </c>
      <c r="K18" s="228"/>
      <c r="L18" s="228"/>
    </row>
    <row r="19" spans="2:12" ht="13.8" thickTop="1">
      <c r="K19" s="228"/>
    </row>
    <row r="20" spans="2:12">
      <c r="B20" s="205" t="s">
        <v>977</v>
      </c>
      <c r="K20" s="228"/>
    </row>
    <row r="21" spans="2:12">
      <c r="C21" s="34" t="s">
        <v>51</v>
      </c>
    </row>
    <row r="22" spans="2:12">
      <c r="C22" s="34" t="s">
        <v>978</v>
      </c>
    </row>
    <row r="23" spans="2:12">
      <c r="C23" s="34" t="s">
        <v>52</v>
      </c>
    </row>
    <row r="24" spans="2:12">
      <c r="C24" s="34"/>
      <c r="D24" s="34" t="s">
        <v>53</v>
      </c>
    </row>
    <row r="32" spans="2:12" ht="20.399999999999999">
      <c r="B32" s="1508" t="s">
        <v>984</v>
      </c>
      <c r="C32" s="1508"/>
      <c r="D32" s="1508"/>
      <c r="E32" s="1508"/>
      <c r="F32" s="1508"/>
      <c r="G32" s="1508"/>
      <c r="H32" s="1508"/>
      <c r="I32" s="1508"/>
      <c r="J32" s="1508"/>
    </row>
    <row r="33" spans="2:11" ht="20.399999999999999">
      <c r="B33" s="1508" t="s">
        <v>749</v>
      </c>
      <c r="C33" s="1508"/>
      <c r="D33" s="1508"/>
      <c r="E33" s="1508"/>
      <c r="F33" s="1508"/>
      <c r="G33" s="1508"/>
      <c r="H33" s="1508"/>
      <c r="I33" s="1508"/>
      <c r="J33" s="1508"/>
    </row>
    <row r="35" spans="2:11" ht="13.8">
      <c r="B35" s="1507" t="s">
        <v>750</v>
      </c>
      <c r="C35" s="1507"/>
      <c r="D35" s="1507"/>
      <c r="E35" s="1507"/>
      <c r="F35" s="1507"/>
      <c r="G35" s="1507"/>
      <c r="H35" s="1507"/>
      <c r="I35" s="1507"/>
      <c r="J35" s="1507"/>
    </row>
    <row r="36" spans="2:11" ht="13.8"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20"/>
      <c r="J37" s="855"/>
    </row>
    <row r="38" spans="2:11" ht="21" customHeight="1">
      <c r="B38" s="5"/>
      <c r="C38" s="5" t="s">
        <v>752</v>
      </c>
      <c r="D38" s="5"/>
      <c r="E38" s="5"/>
      <c r="F38" s="5"/>
      <c r="G38" s="5"/>
      <c r="H38" s="24"/>
      <c r="I38" s="374"/>
      <c r="J38" s="855"/>
    </row>
    <row r="39" spans="2:11" ht="21" customHeight="1" thickBot="1">
      <c r="B39" s="5"/>
      <c r="C39" s="5" t="s">
        <v>203</v>
      </c>
      <c r="D39" s="5"/>
      <c r="E39" s="5"/>
      <c r="F39" s="5"/>
      <c r="G39" s="5"/>
      <c r="H39" s="24"/>
      <c r="I39" s="1024"/>
      <c r="J39" s="855"/>
    </row>
    <row r="40" spans="2:11" ht="21" customHeight="1">
      <c r="B40" s="5"/>
      <c r="C40" s="5"/>
      <c r="D40" s="5" t="s">
        <v>753</v>
      </c>
      <c r="E40" s="5"/>
      <c r="F40" s="5"/>
      <c r="G40" s="5"/>
      <c r="H40" s="24"/>
      <c r="I40" s="1022"/>
      <c r="J40" s="985">
        <f>SUM(I38:I39)</f>
        <v>0</v>
      </c>
      <c r="K40" s="711"/>
    </row>
    <row r="41" spans="2:11" ht="21" customHeight="1">
      <c r="B41" s="5" t="s">
        <v>918</v>
      </c>
      <c r="C41" s="5"/>
      <c r="D41" s="5"/>
      <c r="E41" s="5"/>
      <c r="F41" s="5"/>
      <c r="G41" s="5"/>
      <c r="H41" s="24"/>
      <c r="I41" s="1021"/>
      <c r="J41" s="855"/>
    </row>
    <row r="42" spans="2:11" ht="21" customHeight="1">
      <c r="B42" s="5"/>
      <c r="C42" s="5" t="s">
        <v>754</v>
      </c>
      <c r="D42" s="5"/>
      <c r="E42" s="5"/>
      <c r="F42" s="5"/>
      <c r="G42" s="5"/>
      <c r="H42" s="24"/>
      <c r="I42" s="374"/>
      <c r="J42" s="855"/>
    </row>
    <row r="43" spans="2:11" ht="21" customHeight="1" thickBot="1">
      <c r="B43" s="5"/>
      <c r="C43" s="5" t="s">
        <v>921</v>
      </c>
      <c r="D43" s="5"/>
      <c r="E43" s="5"/>
      <c r="F43" s="5"/>
      <c r="G43" s="5"/>
      <c r="H43" s="24"/>
      <c r="I43" s="1024"/>
      <c r="J43" s="855"/>
    </row>
    <row r="44" spans="2:11" ht="21" customHeight="1" thickBot="1">
      <c r="B44" s="10"/>
      <c r="C44" s="10"/>
      <c r="D44" s="10" t="s">
        <v>922</v>
      </c>
      <c r="E44" s="10"/>
      <c r="F44" s="10"/>
      <c r="G44" s="10"/>
      <c r="H44" s="10"/>
      <c r="I44" s="1023"/>
      <c r="J44" s="987">
        <f>SUM(I42:I43)</f>
        <v>0</v>
      </c>
    </row>
    <row r="45" spans="2:11" ht="13.8" thickTop="1"/>
    <row r="54" spans="2:10" ht="13.8">
      <c r="B54" s="1507" t="s">
        <v>751</v>
      </c>
      <c r="C54" s="1507"/>
      <c r="D54" s="1507"/>
      <c r="E54" s="1507"/>
      <c r="F54" s="1507"/>
      <c r="G54" s="1507"/>
      <c r="H54" s="1507"/>
      <c r="I54" s="1507"/>
      <c r="J54" s="1507"/>
    </row>
  </sheetData>
  <sheetProtection password="CAF9"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B3:L48"/>
  <sheetViews>
    <sheetView topLeftCell="A31" zoomScaleNormal="100" workbookViewId="0">
      <selection activeCell="I15" sqref="I15"/>
    </sheetView>
  </sheetViews>
  <sheetFormatPr defaultRowHeight="13.2"/>
  <cols>
    <col min="1" max="3" width="4.6640625" customWidth="1"/>
    <col min="5" max="5" width="24.44140625" customWidth="1"/>
    <col min="8" max="9" width="16.6640625" style="277" customWidth="1"/>
    <col min="10" max="10" width="13.6640625" style="246" bestFit="1" customWidth="1"/>
    <col min="11" max="11" width="11.109375" bestFit="1" customWidth="1"/>
  </cols>
  <sheetData>
    <row r="3" spans="2:10" ht="22.8">
      <c r="B3" s="1548" t="str">
        <f>" RESULTS OF "&amp;TEXT('KEY INPUTS'!D34,"0")&amp;" OPERATION"</f>
        <v xml:space="preserve"> RESULTS OF 2019 OPERATION</v>
      </c>
      <c r="C3" s="1548"/>
      <c r="D3" s="1548"/>
      <c r="E3" s="1548"/>
      <c r="F3" s="1548"/>
      <c r="G3" s="1548"/>
      <c r="H3" s="1548"/>
      <c r="I3" s="1548"/>
    </row>
    <row r="4" spans="2:10" ht="13.8">
      <c r="B4" s="1507"/>
      <c r="C4" s="1507"/>
      <c r="D4" s="1507"/>
      <c r="E4" s="1507"/>
      <c r="F4" s="1507"/>
      <c r="G4" s="1507"/>
      <c r="H4" s="1507"/>
      <c r="I4" s="1507"/>
    </row>
    <row r="5" spans="2:10">
      <c r="B5" s="322"/>
      <c r="C5" s="322"/>
      <c r="D5" s="322"/>
      <c r="E5" s="322"/>
      <c r="F5" s="322"/>
      <c r="G5" s="322"/>
    </row>
    <row r="6" spans="2:10" ht="15.6">
      <c r="B6" s="1542" t="s">
        <v>755</v>
      </c>
      <c r="C6" s="1542"/>
      <c r="D6" s="1542"/>
      <c r="E6" s="1542"/>
      <c r="F6" s="1542"/>
      <c r="G6" s="1542"/>
      <c r="H6" s="1542"/>
      <c r="I6" s="1542"/>
    </row>
    <row r="7" spans="2:10" ht="15.6">
      <c r="B7" s="964"/>
      <c r="C7" s="964"/>
      <c r="D7" s="964"/>
      <c r="E7" s="964"/>
      <c r="F7" s="964"/>
      <c r="G7" s="964"/>
      <c r="H7" s="339"/>
      <c r="I7" s="339"/>
    </row>
    <row r="8" spans="2:10" ht="8.25" customHeight="1" thickBot="1">
      <c r="B8" s="10"/>
      <c r="C8" s="10"/>
      <c r="D8" s="10"/>
      <c r="E8" s="10"/>
      <c r="F8" s="10"/>
      <c r="G8" s="10"/>
      <c r="H8" s="340"/>
      <c r="I8" s="340"/>
    </row>
    <row r="9" spans="2:10" ht="32.1" customHeight="1" thickTop="1" thickBot="1">
      <c r="B9" s="1552"/>
      <c r="C9" s="1552"/>
      <c r="D9" s="1552"/>
      <c r="E9" s="1552"/>
      <c r="F9" s="1552"/>
      <c r="G9" s="1552"/>
      <c r="H9" s="259" t="s">
        <v>125</v>
      </c>
      <c r="I9" s="260" t="s">
        <v>126</v>
      </c>
    </row>
    <row r="10" spans="2:10" ht="21.9" customHeight="1" thickTop="1">
      <c r="B10" s="283" t="s">
        <v>885</v>
      </c>
      <c r="C10" s="283"/>
      <c r="D10" s="283"/>
      <c r="E10" s="283"/>
      <c r="F10" s="283"/>
      <c r="G10" s="283"/>
      <c r="H10" s="310" t="s">
        <v>788</v>
      </c>
      <c r="I10" s="341" t="s">
        <v>788</v>
      </c>
    </row>
    <row r="11" spans="2:10" ht="21.9" customHeight="1">
      <c r="B11" s="323"/>
      <c r="C11" s="323" t="s">
        <v>183</v>
      </c>
      <c r="D11" s="323"/>
      <c r="E11" s="323"/>
      <c r="F11" s="323"/>
      <c r="G11" s="323" t="s">
        <v>329</v>
      </c>
      <c r="H11" s="310" t="s">
        <v>788</v>
      </c>
      <c r="I11" s="311">
        <f>IF(+'17-Budget Revenues'!J14&gt;0, +'17-Budget Revenues'!J14," ")</f>
        <v>1097650.1499999985</v>
      </c>
      <c r="J11" s="256"/>
    </row>
    <row r="12" spans="2:10" ht="21.9" customHeight="1">
      <c r="B12" s="323"/>
      <c r="C12" s="323" t="s">
        <v>184</v>
      </c>
      <c r="D12" s="323"/>
      <c r="E12" s="323"/>
      <c r="F12" s="323"/>
      <c r="G12" s="323" t="s">
        <v>330</v>
      </c>
      <c r="H12" s="310" t="s">
        <v>788</v>
      </c>
      <c r="I12" s="311">
        <f>IF(+'17-Budget Revenues'!J15&gt;0, +'17-Budget Revenues'!J15,0)</f>
        <v>215389.27000000002</v>
      </c>
      <c r="J12" s="256"/>
    </row>
    <row r="13" spans="2:10" ht="21.9" customHeight="1">
      <c r="B13" s="566"/>
      <c r="C13" s="566"/>
      <c r="D13" s="566"/>
      <c r="E13" s="566"/>
      <c r="F13" s="566"/>
      <c r="G13" s="566"/>
      <c r="H13" s="310" t="s">
        <v>788</v>
      </c>
      <c r="I13" s="589"/>
    </row>
    <row r="14" spans="2:10" ht="21.9" customHeight="1">
      <c r="B14" s="323"/>
      <c r="C14" s="323" t="s">
        <v>185</v>
      </c>
      <c r="D14" s="323"/>
      <c r="E14" s="323"/>
      <c r="F14" s="323"/>
      <c r="G14" s="323" t="s">
        <v>331</v>
      </c>
      <c r="H14" s="310" t="s">
        <v>788</v>
      </c>
      <c r="I14" s="311">
        <f>IF(+'17-Budget Revenues'!J21&gt;0, +'17-Budget Revenues'!J21,0)</f>
        <v>1545454.8800000101</v>
      </c>
      <c r="J14" s="256"/>
    </row>
    <row r="15" spans="2:10" ht="21.9" customHeight="1">
      <c r="B15" s="323" t="str">
        <f>"Unexpended Balances of "&amp;TEXT('KEY INPUTS'!D34,"0")&amp;" Budget Appropriations"</f>
        <v>Unexpended Balances of 2019 Budget Appropriations</v>
      </c>
      <c r="C15" s="323"/>
      <c r="D15" s="323"/>
      <c r="E15" s="323"/>
      <c r="F15" s="323"/>
      <c r="G15" s="323" t="s">
        <v>332</v>
      </c>
      <c r="H15" s="310" t="s">
        <v>788</v>
      </c>
      <c r="I15" s="311">
        <f>+'18-Budget Appropriations'!J18</f>
        <v>3689.7799999937415</v>
      </c>
      <c r="J15" s="256"/>
    </row>
    <row r="16" spans="2:10" ht="21.9" customHeight="1">
      <c r="B16" s="323" t="s">
        <v>440</v>
      </c>
      <c r="C16" s="323"/>
      <c r="D16" s="323"/>
      <c r="E16" s="323"/>
      <c r="F16" s="323"/>
      <c r="G16" s="323" t="s">
        <v>333</v>
      </c>
      <c r="H16" s="310" t="s">
        <v>788</v>
      </c>
      <c r="I16" s="311">
        <f>'20 Total-Misc Rev Not Ant'!H41</f>
        <v>353110.74</v>
      </c>
      <c r="J16" s="256"/>
    </row>
    <row r="17" spans="2:11" ht="11.25" customHeight="1">
      <c r="B17" s="7" t="s">
        <v>347</v>
      </c>
      <c r="C17" s="7"/>
      <c r="D17" s="7"/>
      <c r="E17" s="7"/>
      <c r="F17" s="7"/>
      <c r="G17" s="7"/>
      <c r="H17" s="1627" t="s">
        <v>788</v>
      </c>
      <c r="I17" s="1625">
        <f>+'27-Foreclosed Property'!L15</f>
        <v>0</v>
      </c>
    </row>
    <row r="18" spans="2:11" ht="12.75" customHeight="1">
      <c r="B18" s="284"/>
      <c r="C18" s="284" t="s">
        <v>348</v>
      </c>
      <c r="D18" s="284"/>
      <c r="E18" s="284"/>
      <c r="F18" s="284"/>
      <c r="G18" s="284" t="s">
        <v>334</v>
      </c>
      <c r="H18" s="1628"/>
      <c r="I18" s="1626"/>
    </row>
    <row r="19" spans="2:11" ht="21.9" customHeight="1">
      <c r="B19" s="323"/>
      <c r="C19" s="323" t="s">
        <v>358</v>
      </c>
      <c r="D19" s="323"/>
      <c r="E19" s="323"/>
      <c r="F19" s="323"/>
      <c r="G19" s="323" t="s">
        <v>335</v>
      </c>
      <c r="H19" s="310" t="s">
        <v>788</v>
      </c>
      <c r="I19" s="589"/>
    </row>
    <row r="20" spans="2:11" ht="21.9" customHeight="1">
      <c r="B20" s="323" t="s">
        <v>204</v>
      </c>
      <c r="C20" s="323"/>
      <c r="D20" s="323"/>
      <c r="E20" s="323"/>
      <c r="F20" s="323"/>
      <c r="G20" s="323"/>
      <c r="H20" s="310" t="s">
        <v>788</v>
      </c>
      <c r="I20" s="589"/>
    </row>
    <row r="21" spans="2:11" ht="21.9" customHeight="1">
      <c r="B21" s="323" t="str">
        <f>"Unexpended Balances of "&amp;TEXT('KEY INPUTS'!D35,"0")&amp;" Appropriation Reserves"</f>
        <v>Unexpended Balances of 2018 Appropriation Reserves</v>
      </c>
      <c r="C21" s="323"/>
      <c r="D21" s="323"/>
      <c r="E21" s="323"/>
      <c r="F21" s="323"/>
      <c r="G21" s="323" t="s">
        <v>336</v>
      </c>
      <c r="H21" s="310" t="s">
        <v>788</v>
      </c>
      <c r="I21" s="589">
        <v>1497134.91</v>
      </c>
      <c r="J21" s="256"/>
    </row>
    <row r="22" spans="2:11" ht="21.9" customHeight="1">
      <c r="B22" s="323" t="str">
        <f>"Prior Years Interfunds Returned in "&amp;TEXT('KEY INPUTS'!D34,"0")</f>
        <v>Prior Years Interfunds Returned in 2019</v>
      </c>
      <c r="C22" s="323"/>
      <c r="D22" s="323"/>
      <c r="E22" s="323"/>
      <c r="F22" s="323"/>
      <c r="G22" s="323" t="s">
        <v>373</v>
      </c>
      <c r="H22" s="310" t="s">
        <v>788</v>
      </c>
      <c r="I22" s="589">
        <v>49473.15</v>
      </c>
      <c r="J22" s="256"/>
    </row>
    <row r="23" spans="2:11" ht="21.9" customHeight="1">
      <c r="B23" s="566" t="s">
        <v>4022</v>
      </c>
      <c r="C23" s="566"/>
      <c r="D23" s="566"/>
      <c r="E23" s="566"/>
      <c r="F23" s="566"/>
      <c r="G23" s="566"/>
      <c r="H23" s="310" t="s">
        <v>788</v>
      </c>
      <c r="I23" s="589">
        <v>644367.62</v>
      </c>
    </row>
    <row r="24" spans="2:11" s="322" customFormat="1" ht="21.9" customHeight="1">
      <c r="B24" s="566"/>
      <c r="C24" s="566"/>
      <c r="D24" s="566"/>
      <c r="E24" s="566"/>
      <c r="F24" s="566"/>
      <c r="G24" s="566"/>
      <c r="H24" s="684"/>
      <c r="I24" s="589"/>
      <c r="J24" s="277"/>
    </row>
    <row r="25" spans="2:11" ht="21.9" customHeight="1">
      <c r="B25" s="567"/>
      <c r="C25" s="566"/>
      <c r="D25" s="566"/>
      <c r="E25" s="566"/>
      <c r="F25" s="566"/>
      <c r="G25" s="566"/>
      <c r="H25" s="310" t="s">
        <v>788</v>
      </c>
      <c r="I25" s="589"/>
      <c r="J25" s="327"/>
    </row>
    <row r="26" spans="2:11" ht="21.9" customHeight="1">
      <c r="B26" s="566"/>
      <c r="C26" s="566"/>
      <c r="D26" s="566"/>
      <c r="E26" s="566"/>
      <c r="F26" s="566"/>
      <c r="G26" s="566"/>
      <c r="H26" s="310" t="s">
        <v>788</v>
      </c>
      <c r="I26" s="589"/>
    </row>
    <row r="27" spans="2:11" ht="21.9" customHeight="1">
      <c r="B27" s="5" t="s">
        <v>382</v>
      </c>
      <c r="C27" s="5"/>
      <c r="D27" s="5"/>
      <c r="E27" s="5"/>
      <c r="F27" s="5"/>
      <c r="G27" s="5"/>
      <c r="H27" s="310" t="s">
        <v>788</v>
      </c>
      <c r="I27" s="264" t="s">
        <v>788</v>
      </c>
      <c r="J27" s="256"/>
    </row>
    <row r="28" spans="2:11" ht="21.9" customHeight="1">
      <c r="B28" s="5"/>
      <c r="C28" s="5" t="str">
        <f>'KEY INPUTS'!D25</f>
        <v>Balance - January 1, 2019</v>
      </c>
      <c r="D28" s="5"/>
      <c r="E28" s="5"/>
      <c r="F28" s="5"/>
      <c r="G28" s="5" t="s">
        <v>374</v>
      </c>
      <c r="H28" s="337">
        <f>+'13-Other Taxes'!H11+'14-Other Taxes'!H12+'14-Other Taxes'!H33</f>
        <v>10642000</v>
      </c>
      <c r="I28" s="264" t="s">
        <v>788</v>
      </c>
      <c r="J28" s="256"/>
      <c r="K28" s="325"/>
    </row>
    <row r="29" spans="2:11" ht="21.9" customHeight="1">
      <c r="B29" s="5"/>
      <c r="C29" s="5" t="str">
        <f>'KEY INPUTS'!D26</f>
        <v>Balance - December 31, 2019</v>
      </c>
      <c r="D29" s="5"/>
      <c r="E29" s="5"/>
      <c r="F29" s="5"/>
      <c r="G29" s="5" t="s">
        <v>375</v>
      </c>
      <c r="H29" s="310" t="s">
        <v>788</v>
      </c>
      <c r="I29" s="311">
        <f>'13-Other Taxes'!G18+'14-Other Taxes'!G40+'14-Other Taxes'!G19</f>
        <v>10642000</v>
      </c>
      <c r="J29" s="327"/>
      <c r="K29" s="325"/>
    </row>
    <row r="30" spans="2:11" ht="21.9" customHeight="1">
      <c r="B30" s="5" t="s">
        <v>267</v>
      </c>
      <c r="C30" s="5"/>
      <c r="D30" s="5"/>
      <c r="E30" s="5"/>
      <c r="F30" s="5"/>
      <c r="G30" s="5"/>
      <c r="H30" s="310" t="s">
        <v>788</v>
      </c>
      <c r="I30" s="264" t="s">
        <v>788</v>
      </c>
      <c r="J30" s="256"/>
      <c r="K30" s="325"/>
    </row>
    <row r="31" spans="2:11" ht="21.9" customHeight="1">
      <c r="B31" s="5"/>
      <c r="C31" s="5" t="s">
        <v>349</v>
      </c>
      <c r="D31" s="5"/>
      <c r="E31" s="5"/>
      <c r="F31" s="5"/>
      <c r="G31" s="5" t="s">
        <v>376</v>
      </c>
      <c r="H31" s="337">
        <f>IF(+'17-Budget Revenues'!J14&lt;0, -'17-Budget Revenues'!J14,0)</f>
        <v>0</v>
      </c>
      <c r="I31" s="264" t="s">
        <v>788</v>
      </c>
      <c r="J31" s="256"/>
    </row>
    <row r="32" spans="2:11" ht="21.9" customHeight="1">
      <c r="B32" s="5"/>
      <c r="C32" s="5" t="s">
        <v>184</v>
      </c>
      <c r="D32" s="5"/>
      <c r="E32" s="5"/>
      <c r="F32" s="5"/>
      <c r="G32" s="5" t="s">
        <v>377</v>
      </c>
      <c r="H32" s="337">
        <f>IF(+'17-Budget Revenues'!J15&lt;0, -'17-Budget Revenues'!J15,0)</f>
        <v>0</v>
      </c>
      <c r="I32" s="264" t="s">
        <v>788</v>
      </c>
      <c r="J32" s="256"/>
    </row>
    <row r="33" spans="2:12" ht="21.9" customHeight="1">
      <c r="B33" s="1455"/>
      <c r="C33" s="1455"/>
      <c r="D33" s="1455"/>
      <c r="E33" s="1455"/>
      <c r="F33" s="1455"/>
      <c r="G33" s="1456"/>
      <c r="H33" s="372"/>
      <c r="I33" s="264" t="s">
        <v>788</v>
      </c>
    </row>
    <row r="34" spans="2:12" ht="21.9" customHeight="1">
      <c r="B34" s="5"/>
      <c r="C34" s="5" t="s">
        <v>350</v>
      </c>
      <c r="D34" s="5"/>
      <c r="E34" s="5"/>
      <c r="F34" s="5"/>
      <c r="G34" s="5" t="s">
        <v>378</v>
      </c>
      <c r="H34" s="337">
        <f>IF(+'17-Budget Revenues'!J21&lt;0, -'17-Budget Revenues'!J21,0)</f>
        <v>0</v>
      </c>
      <c r="I34" s="264" t="s">
        <v>788</v>
      </c>
    </row>
    <row r="35" spans="2:12" ht="21.9" customHeight="1">
      <c r="B35" s="281" t="str">
        <f>"Interfund Advances Originating in "&amp;TEXT('KEY INPUTS'!D34,"0")</f>
        <v>Interfund Advances Originating in 2019</v>
      </c>
      <c r="C35" s="5"/>
      <c r="D35" s="5"/>
      <c r="E35" s="5"/>
      <c r="F35" s="5"/>
      <c r="G35" s="5" t="s">
        <v>379</v>
      </c>
      <c r="H35" s="372">
        <v>56348.54</v>
      </c>
      <c r="I35" s="264" t="s">
        <v>788</v>
      </c>
      <c r="J35" s="327"/>
    </row>
    <row r="36" spans="2:12" ht="21.9" customHeight="1">
      <c r="B36" s="566" t="s">
        <v>4021</v>
      </c>
      <c r="C36" s="566"/>
      <c r="D36" s="566"/>
      <c r="E36" s="566"/>
      <c r="F36" s="566"/>
      <c r="G36" s="566"/>
      <c r="H36" s="372">
        <v>10604.8</v>
      </c>
      <c r="I36" s="264" t="s">
        <v>788</v>
      </c>
    </row>
    <row r="37" spans="2:12" ht="21.9" customHeight="1">
      <c r="B37" s="566" t="s">
        <v>3963</v>
      </c>
      <c r="C37" s="566"/>
      <c r="D37" s="566"/>
      <c r="E37" s="566"/>
      <c r="F37" s="566"/>
      <c r="G37" s="566"/>
      <c r="H37" s="372">
        <v>31852.51</v>
      </c>
      <c r="I37" s="264" t="s">
        <v>788</v>
      </c>
    </row>
    <row r="38" spans="2:12" s="322" customFormat="1" ht="21.9" customHeight="1">
      <c r="B38" s="566"/>
      <c r="C38" s="566"/>
      <c r="D38" s="566"/>
      <c r="E38" s="566"/>
      <c r="F38" s="566"/>
      <c r="G38" s="566"/>
      <c r="H38" s="372"/>
      <c r="I38" s="1459"/>
      <c r="J38" s="277"/>
    </row>
    <row r="39" spans="2:12" s="322" customFormat="1" ht="21.9" customHeight="1">
      <c r="B39" s="566"/>
      <c r="C39" s="566"/>
      <c r="D39" s="566"/>
      <c r="E39" s="566"/>
      <c r="F39" s="566"/>
      <c r="G39" s="566"/>
      <c r="H39" s="372"/>
      <c r="I39" s="1459"/>
      <c r="J39" s="277"/>
    </row>
    <row r="40" spans="2:12" s="322" customFormat="1" ht="21.9" customHeight="1">
      <c r="B40" s="566"/>
      <c r="C40" s="566"/>
      <c r="D40" s="566"/>
      <c r="E40" s="566"/>
      <c r="F40" s="566"/>
      <c r="G40" s="566"/>
      <c r="H40" s="372"/>
      <c r="I40" s="1459"/>
      <c r="J40" s="277"/>
    </row>
    <row r="41" spans="2:12" ht="21.9" customHeight="1">
      <c r="B41" s="566"/>
      <c r="C41" s="566"/>
      <c r="D41" s="566"/>
      <c r="E41" s="566"/>
      <c r="F41" s="566"/>
      <c r="G41" s="566"/>
      <c r="H41" s="372"/>
      <c r="I41" s="264" t="s">
        <v>788</v>
      </c>
      <c r="J41" s="327"/>
    </row>
    <row r="42" spans="2:12" ht="21.9" customHeight="1">
      <c r="B42" s="566"/>
      <c r="C42" s="566"/>
      <c r="D42" s="566"/>
      <c r="E42" s="566"/>
      <c r="F42" s="566"/>
      <c r="G42" s="566"/>
      <c r="H42" s="372"/>
      <c r="I42" s="264" t="s">
        <v>788</v>
      </c>
    </row>
    <row r="43" spans="2:12" ht="21.9" customHeight="1">
      <c r="B43" s="5" t="s">
        <v>351</v>
      </c>
      <c r="C43" s="5"/>
      <c r="D43" s="5"/>
      <c r="E43" s="5"/>
      <c r="F43" s="5"/>
      <c r="G43" s="5" t="s">
        <v>380</v>
      </c>
      <c r="H43" s="310" t="s">
        <v>788</v>
      </c>
      <c r="I43" s="836">
        <f>IF(+J44&gt;0,0,J44*-1)</f>
        <v>0</v>
      </c>
      <c r="J43" s="256"/>
    </row>
    <row r="44" spans="2:12" ht="21.9" customHeight="1" thickBot="1">
      <c r="B44" s="5" t="s">
        <v>182</v>
      </c>
      <c r="C44" s="5"/>
      <c r="D44" s="5"/>
      <c r="E44" s="5"/>
      <c r="F44" s="5"/>
      <c r="G44" s="5" t="s">
        <v>381</v>
      </c>
      <c r="H44" s="314">
        <f>+IF(+J44&gt;0,J44,0)</f>
        <v>5307464.6500000041</v>
      </c>
      <c r="I44" s="342" t="s">
        <v>788</v>
      </c>
      <c r="J44" s="327">
        <f>SUM(I10:I42)-SUM(H10:H42)</f>
        <v>5307464.6500000041</v>
      </c>
      <c r="K44" s="711" t="s">
        <v>3646</v>
      </c>
      <c r="L44" s="228"/>
    </row>
    <row r="45" spans="2:12" ht="21.9" customHeight="1" thickBot="1">
      <c r="B45" s="7"/>
      <c r="C45" s="7"/>
      <c r="D45" s="7"/>
      <c r="E45" s="7"/>
      <c r="F45" s="7"/>
      <c r="G45" s="83"/>
      <c r="H45" s="343">
        <f>SUM(H10:H44)</f>
        <v>16048270.500000004</v>
      </c>
      <c r="I45" s="344">
        <f>SUM(I10:I44)</f>
        <v>16048270.500000004</v>
      </c>
      <c r="J45" s="256"/>
    </row>
    <row r="46" spans="2:12" ht="13.8" thickTop="1"/>
    <row r="47" spans="2:12" s="322" customFormat="1">
      <c r="H47" s="277"/>
      <c r="I47" s="277"/>
      <c r="J47" s="277"/>
    </row>
    <row r="48" spans="2:12" ht="13.8">
      <c r="B48" s="1507" t="s">
        <v>756</v>
      </c>
      <c r="C48" s="1507"/>
      <c r="D48" s="1507"/>
      <c r="E48" s="1507"/>
      <c r="F48" s="1507"/>
      <c r="G48" s="1507"/>
      <c r="H48" s="1507"/>
      <c r="I48" s="1507"/>
    </row>
  </sheetData>
  <sheetProtection algorithmName="SHA-512" hashValue="ttGto9hD3eCQEIv460FJ9753+r7EgbxT0VmzebXXBfxAGWQpFWOpM0EVPqqUkQKjIZcIdqsXMnTnSryi0/c+Mg==" saltValue="zAYrNoWqtcGVP8QNDRBQhA=="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B1:N55"/>
  <sheetViews>
    <sheetView topLeftCell="A22" zoomScaleNormal="100" workbookViewId="0">
      <selection activeCell="H26" sqref="H26"/>
    </sheetView>
  </sheetViews>
  <sheetFormatPr defaultRowHeight="13.2"/>
  <cols>
    <col min="1" max="3" width="4.6640625" customWidth="1"/>
    <col min="4" max="4" width="12.33203125" customWidth="1"/>
    <col min="5" max="5" width="22.6640625" customWidth="1"/>
    <col min="6" max="6" width="25.88671875" customWidth="1"/>
    <col min="8" max="8" width="16.6640625" customWidth="1"/>
    <col min="9" max="9" width="11.44140625" bestFit="1" customWidth="1"/>
    <col min="10" max="10" width="10.33203125" bestFit="1" customWidth="1"/>
    <col min="11" max="11" width="10.88671875" bestFit="1" customWidth="1"/>
    <col min="13" max="13" width="12.44140625" style="287" bestFit="1" customWidth="1"/>
    <col min="14" max="14" width="10.44140625" style="287" bestFit="1" customWidth="1"/>
  </cols>
  <sheetData>
    <row r="1" spans="2:11">
      <c r="B1" s="322"/>
      <c r="C1" s="322"/>
      <c r="D1" s="322"/>
      <c r="E1" s="322"/>
      <c r="F1" s="322"/>
      <c r="G1" s="322"/>
      <c r="H1" s="322"/>
    </row>
    <row r="2" spans="2:11">
      <c r="B2" s="322"/>
      <c r="C2" s="322"/>
      <c r="D2" s="322"/>
      <c r="E2" s="322"/>
      <c r="F2" s="322"/>
      <c r="G2" s="322"/>
      <c r="H2" s="322"/>
    </row>
    <row r="3" spans="2:11" ht="22.8">
      <c r="B3" s="1548" t="s">
        <v>758</v>
      </c>
      <c r="C3" s="1548"/>
      <c r="D3" s="1548"/>
      <c r="E3" s="1548"/>
      <c r="F3" s="1548"/>
      <c r="G3" s="1548"/>
      <c r="H3" s="1548"/>
    </row>
    <row r="4" spans="2:11" ht="22.8">
      <c r="B4" s="1548" t="s">
        <v>759</v>
      </c>
      <c r="C4" s="1548"/>
      <c r="D4" s="1548"/>
      <c r="E4" s="1548"/>
      <c r="F4" s="1548"/>
      <c r="G4" s="1548"/>
      <c r="H4" s="1548"/>
    </row>
    <row r="5" spans="2:11" ht="15.6">
      <c r="B5" s="991"/>
      <c r="C5" s="991"/>
      <c r="D5" s="991"/>
      <c r="E5" s="991"/>
      <c r="F5" s="991"/>
      <c r="G5" s="991"/>
      <c r="H5" s="991"/>
    </row>
    <row r="6" spans="2:11" ht="8.25" customHeight="1" thickBot="1">
      <c r="B6" s="10"/>
      <c r="C6" s="10"/>
      <c r="D6" s="10"/>
      <c r="E6" s="10"/>
      <c r="F6" s="10"/>
      <c r="G6" s="10"/>
      <c r="H6" s="10"/>
    </row>
    <row r="7" spans="2:11" ht="32.1" customHeight="1" thickTop="1" thickBot="1">
      <c r="B7" s="1629" t="s">
        <v>211</v>
      </c>
      <c r="C7" s="1629"/>
      <c r="D7" s="1629"/>
      <c r="E7" s="1629"/>
      <c r="F7" s="1629"/>
      <c r="G7" s="1629"/>
      <c r="H7" s="81" t="s">
        <v>757</v>
      </c>
    </row>
    <row r="8" spans="2:11" ht="21.9" customHeight="1" thickTop="1">
      <c r="B8" s="569"/>
      <c r="C8" s="642" t="s">
        <v>4037</v>
      </c>
      <c r="D8" s="569"/>
      <c r="E8" s="569"/>
      <c r="F8" s="569"/>
      <c r="G8" s="569"/>
      <c r="H8" s="587">
        <v>5400</v>
      </c>
    </row>
    <row r="9" spans="2:11" ht="21.9" customHeight="1">
      <c r="B9" s="566"/>
      <c r="C9" s="567" t="s">
        <v>4038</v>
      </c>
      <c r="D9" s="566"/>
      <c r="E9" s="566"/>
      <c r="F9" s="566"/>
      <c r="G9" s="566"/>
      <c r="H9" s="568">
        <v>39</v>
      </c>
      <c r="I9" s="228"/>
      <c r="J9" s="360"/>
      <c r="K9" s="325"/>
    </row>
    <row r="10" spans="2:11" ht="21.9" customHeight="1">
      <c r="B10" s="566"/>
      <c r="C10" s="567" t="s">
        <v>4039</v>
      </c>
      <c r="D10" s="566"/>
      <c r="E10" s="566"/>
      <c r="F10" s="566"/>
      <c r="G10" s="566"/>
      <c r="H10" s="568">
        <v>27.5</v>
      </c>
      <c r="I10" s="228"/>
      <c r="J10" s="360"/>
      <c r="K10" s="325"/>
    </row>
    <row r="11" spans="2:11" ht="21.9" customHeight="1">
      <c r="B11" s="566"/>
      <c r="C11" s="567" t="s">
        <v>4040</v>
      </c>
      <c r="D11" s="566"/>
      <c r="E11" s="566"/>
      <c r="F11" s="566"/>
      <c r="G11" s="566"/>
      <c r="H11" s="568">
        <v>1156.3</v>
      </c>
      <c r="I11" s="228"/>
      <c r="J11" s="360"/>
      <c r="K11" s="325"/>
    </row>
    <row r="12" spans="2:11" ht="21.9" customHeight="1">
      <c r="B12" s="566"/>
      <c r="C12" s="567" t="s">
        <v>4041</v>
      </c>
      <c r="D12" s="566"/>
      <c r="E12" s="566"/>
      <c r="F12" s="566"/>
      <c r="G12" s="566"/>
      <c r="H12" s="568">
        <v>1023</v>
      </c>
      <c r="I12" s="228"/>
      <c r="J12" s="277"/>
      <c r="K12" s="325"/>
    </row>
    <row r="13" spans="2:11" ht="21.9" customHeight="1">
      <c r="B13" s="566"/>
      <c r="C13" s="567" t="s">
        <v>4042</v>
      </c>
      <c r="D13" s="566"/>
      <c r="E13" s="566"/>
      <c r="F13" s="566"/>
      <c r="G13" s="566"/>
      <c r="H13" s="568">
        <v>2325</v>
      </c>
      <c r="I13" s="228"/>
      <c r="J13" s="360"/>
      <c r="K13" s="325"/>
    </row>
    <row r="14" spans="2:11" ht="21.9" customHeight="1">
      <c r="B14" s="566"/>
      <c r="C14" s="567" t="s">
        <v>4043</v>
      </c>
      <c r="D14" s="566"/>
      <c r="E14" s="566"/>
      <c r="F14" s="566"/>
      <c r="G14" s="566"/>
      <c r="H14" s="568">
        <v>15264.14</v>
      </c>
      <c r="I14" s="228"/>
      <c r="J14" s="360"/>
      <c r="K14" s="325"/>
    </row>
    <row r="15" spans="2:11" ht="21.9" customHeight="1">
      <c r="B15" s="566"/>
      <c r="C15" s="567" t="s">
        <v>4044</v>
      </c>
      <c r="D15" s="566"/>
      <c r="E15" s="566"/>
      <c r="F15" s="566"/>
      <c r="G15" s="566"/>
      <c r="H15" s="568">
        <v>2600.8000000000002</v>
      </c>
      <c r="I15" s="228"/>
      <c r="J15" s="360"/>
      <c r="K15" s="325"/>
    </row>
    <row r="16" spans="2:11" ht="21.9" customHeight="1">
      <c r="B16" s="566"/>
      <c r="C16" s="566" t="s">
        <v>4045</v>
      </c>
      <c r="D16" s="566"/>
      <c r="E16" s="566"/>
      <c r="F16" s="566"/>
      <c r="G16" s="566"/>
      <c r="H16" s="568">
        <v>25</v>
      </c>
      <c r="I16" s="228"/>
      <c r="J16" s="360"/>
      <c r="K16" s="325"/>
    </row>
    <row r="17" spans="2:14" ht="21.9" customHeight="1">
      <c r="B17" s="566"/>
      <c r="C17" s="566" t="s">
        <v>4046</v>
      </c>
      <c r="D17" s="566"/>
      <c r="E17" s="566"/>
      <c r="F17" s="566"/>
      <c r="G17" s="566"/>
      <c r="H17" s="568">
        <v>117.7</v>
      </c>
      <c r="I17" s="228"/>
      <c r="J17" s="360"/>
      <c r="K17" s="325"/>
    </row>
    <row r="18" spans="2:14" ht="21.9" customHeight="1">
      <c r="B18" s="566"/>
      <c r="C18" s="566" t="s">
        <v>4047</v>
      </c>
      <c r="D18" s="566"/>
      <c r="E18" s="566"/>
      <c r="F18" s="566"/>
      <c r="G18" s="566"/>
      <c r="H18" s="568">
        <v>103870.55</v>
      </c>
      <c r="J18" s="360"/>
      <c r="K18" s="325"/>
    </row>
    <row r="19" spans="2:14" ht="21.9" customHeight="1">
      <c r="B19" s="566"/>
      <c r="C19" s="566" t="s">
        <v>4048</v>
      </c>
      <c r="D19" s="566"/>
      <c r="E19" s="566"/>
      <c r="F19" s="566"/>
      <c r="G19" s="566"/>
      <c r="H19" s="568">
        <v>5872.69</v>
      </c>
      <c r="J19" s="360"/>
      <c r="K19" s="325"/>
      <c r="L19" s="322"/>
    </row>
    <row r="20" spans="2:14" ht="21.9" customHeight="1">
      <c r="B20" s="566"/>
      <c r="C20" s="566" t="s">
        <v>4049</v>
      </c>
      <c r="D20" s="566"/>
      <c r="E20" s="566"/>
      <c r="F20" s="566"/>
      <c r="G20" s="566"/>
      <c r="H20" s="568">
        <v>985.5</v>
      </c>
      <c r="J20" s="277"/>
      <c r="K20" s="325"/>
    </row>
    <row r="21" spans="2:14" ht="21.9" customHeight="1">
      <c r="B21" s="566"/>
      <c r="C21" s="566" t="s">
        <v>4058</v>
      </c>
      <c r="D21" s="566"/>
      <c r="E21" s="566"/>
      <c r="F21" s="566"/>
      <c r="G21" s="566"/>
      <c r="H21" s="568">
        <f>28100-28100</f>
        <v>0</v>
      </c>
      <c r="J21" s="277"/>
      <c r="K21" s="325"/>
    </row>
    <row r="22" spans="2:14" ht="21.9" customHeight="1">
      <c r="B22" s="566"/>
      <c r="C22" s="566" t="s">
        <v>4050</v>
      </c>
      <c r="D22" s="566"/>
      <c r="E22" s="566"/>
      <c r="F22" s="566"/>
      <c r="G22" s="566"/>
      <c r="H22" s="568">
        <v>245</v>
      </c>
      <c r="J22" s="360"/>
      <c r="K22" s="325"/>
    </row>
    <row r="23" spans="2:14" ht="21.9" customHeight="1">
      <c r="B23" s="566"/>
      <c r="C23" s="566" t="s">
        <v>4051</v>
      </c>
      <c r="D23" s="566"/>
      <c r="E23" s="566"/>
      <c r="F23" s="566"/>
      <c r="G23" s="566"/>
      <c r="H23" s="568">
        <v>500</v>
      </c>
      <c r="J23" s="360"/>
      <c r="K23" s="325"/>
    </row>
    <row r="24" spans="2:14" ht="21.9" customHeight="1">
      <c r="B24" s="566"/>
      <c r="C24" s="566" t="s">
        <v>4062</v>
      </c>
      <c r="D24" s="566"/>
      <c r="E24" s="566"/>
      <c r="F24" s="566"/>
      <c r="G24" s="566"/>
      <c r="H24" s="568">
        <v>75000</v>
      </c>
      <c r="J24" s="360"/>
      <c r="K24" s="325"/>
    </row>
    <row r="25" spans="2:14" ht="21.9" customHeight="1">
      <c r="B25" s="566"/>
      <c r="C25" s="566" t="s">
        <v>4060</v>
      </c>
      <c r="D25" s="566"/>
      <c r="E25" s="566"/>
      <c r="F25" s="566"/>
      <c r="G25" s="566"/>
      <c r="H25" s="568">
        <f>95564.71-75000</f>
        <v>20564.710000000006</v>
      </c>
      <c r="J25" s="360"/>
      <c r="K25" s="325"/>
    </row>
    <row r="26" spans="2:14" ht="21.9" customHeight="1">
      <c r="B26" s="566"/>
      <c r="C26" s="566" t="s">
        <v>3989</v>
      </c>
      <c r="D26" s="566"/>
      <c r="E26" s="566"/>
      <c r="F26" s="566"/>
      <c r="G26" s="566"/>
      <c r="H26" s="568">
        <f>20-909-2820.5+2023.53+28360.04</f>
        <v>26674.07</v>
      </c>
      <c r="J26" s="360"/>
      <c r="K26" s="325"/>
      <c r="L26" s="322"/>
    </row>
    <row r="27" spans="2:14" s="322" customFormat="1" ht="21.9" customHeight="1">
      <c r="B27" s="566"/>
      <c r="C27" s="566" t="s">
        <v>4061</v>
      </c>
      <c r="D27" s="566"/>
      <c r="E27" s="566"/>
      <c r="F27" s="566"/>
      <c r="G27" s="566"/>
      <c r="H27" s="568">
        <v>39873.81</v>
      </c>
      <c r="J27" s="277"/>
      <c r="K27" s="325"/>
      <c r="M27" s="287"/>
      <c r="N27" s="287"/>
    </row>
    <row r="28" spans="2:14" s="322" customFormat="1" ht="21.9" customHeight="1">
      <c r="B28" s="566"/>
      <c r="C28" s="566" t="s">
        <v>4052</v>
      </c>
      <c r="D28" s="566"/>
      <c r="E28" s="566"/>
      <c r="F28" s="566"/>
      <c r="G28" s="566"/>
      <c r="H28" s="568">
        <v>1333</v>
      </c>
      <c r="J28" s="277"/>
      <c r="K28" s="325"/>
      <c r="M28" s="287"/>
      <c r="N28" s="287"/>
    </row>
    <row r="29" spans="2:14" s="322" customFormat="1" ht="21.9" customHeight="1">
      <c r="B29" s="566"/>
      <c r="C29" s="566" t="s">
        <v>4053</v>
      </c>
      <c r="D29" s="566"/>
      <c r="E29" s="566"/>
      <c r="F29" s="566"/>
      <c r="G29" s="566"/>
      <c r="H29" s="568">
        <v>8467</v>
      </c>
      <c r="J29" s="360"/>
      <c r="K29" s="325"/>
      <c r="M29" s="287"/>
      <c r="N29" s="287"/>
    </row>
    <row r="30" spans="2:14" s="322" customFormat="1" ht="21.9" customHeight="1">
      <c r="B30" s="566"/>
      <c r="C30" s="567" t="s">
        <v>4054</v>
      </c>
      <c r="D30" s="566"/>
      <c r="E30" s="566"/>
      <c r="F30" s="566"/>
      <c r="G30" s="566"/>
      <c r="H30" s="568">
        <v>960</v>
      </c>
      <c r="J30" s="277"/>
      <c r="K30" s="325"/>
      <c r="M30" s="287"/>
      <c r="N30" s="287"/>
    </row>
    <row r="31" spans="2:14" s="322" customFormat="1" ht="21.9" customHeight="1">
      <c r="B31" s="566"/>
      <c r="C31" s="567" t="s">
        <v>4055</v>
      </c>
      <c r="D31" s="566"/>
      <c r="E31" s="566"/>
      <c r="F31" s="566"/>
      <c r="G31" s="566"/>
      <c r="H31" s="568">
        <v>3281</v>
      </c>
      <c r="J31" s="360"/>
      <c r="K31" s="325"/>
      <c r="M31" s="287"/>
      <c r="N31" s="287"/>
    </row>
    <row r="32" spans="2:14" s="322" customFormat="1" ht="21.9" customHeight="1">
      <c r="B32" s="566"/>
      <c r="C32" s="567" t="s">
        <v>4056</v>
      </c>
      <c r="D32" s="566"/>
      <c r="E32" s="566"/>
      <c r="F32" s="566"/>
      <c r="G32" s="566"/>
      <c r="H32" s="568">
        <v>26959.74</v>
      </c>
      <c r="K32" s="325"/>
      <c r="N32" s="325"/>
    </row>
    <row r="33" spans="2:14" s="322" customFormat="1" ht="21.9" customHeight="1">
      <c r="B33" s="566"/>
      <c r="C33" s="566" t="s">
        <v>4057</v>
      </c>
      <c r="D33" s="566"/>
      <c r="E33" s="566"/>
      <c r="F33" s="566"/>
      <c r="G33" s="566"/>
      <c r="H33" s="568">
        <v>1302.23</v>
      </c>
      <c r="J33" s="338"/>
      <c r="K33" s="325"/>
      <c r="M33" s="287"/>
      <c r="N33" s="287"/>
    </row>
    <row r="34" spans="2:14" s="322" customFormat="1" ht="21.9" customHeight="1">
      <c r="B34" s="566"/>
      <c r="C34" s="566" t="s">
        <v>4059</v>
      </c>
      <c r="D34" s="566"/>
      <c r="E34" s="566"/>
      <c r="F34" s="566"/>
      <c r="G34" s="566"/>
      <c r="H34" s="568">
        <v>9243</v>
      </c>
      <c r="J34" s="338"/>
      <c r="K34" s="325"/>
      <c r="M34" s="287"/>
      <c r="N34" s="287"/>
    </row>
    <row r="35" spans="2:14" s="322" customFormat="1" ht="21.9" customHeight="1">
      <c r="B35" s="566"/>
      <c r="C35" s="566"/>
      <c r="D35" s="566"/>
      <c r="E35" s="566"/>
      <c r="F35" s="566"/>
      <c r="G35" s="566"/>
      <c r="H35" s="568"/>
      <c r="J35" s="338"/>
      <c r="K35" s="325"/>
      <c r="M35" s="287"/>
      <c r="N35" s="287"/>
    </row>
    <row r="36" spans="2:14" s="322" customFormat="1" ht="21.9" customHeight="1">
      <c r="B36" s="566"/>
      <c r="C36" s="566"/>
      <c r="D36" s="566"/>
      <c r="E36" s="566"/>
      <c r="F36" s="566"/>
      <c r="G36" s="566"/>
      <c r="H36" s="568"/>
      <c r="J36" s="338"/>
      <c r="K36" s="325"/>
      <c r="M36" s="287"/>
      <c r="N36" s="287"/>
    </row>
    <row r="37" spans="2:14" ht="21.9" customHeight="1">
      <c r="B37" s="566"/>
      <c r="C37" s="566"/>
      <c r="D37" s="566"/>
      <c r="E37" s="566"/>
      <c r="F37" s="566"/>
      <c r="G37" s="566"/>
      <c r="H37" s="568"/>
      <c r="K37" s="325"/>
    </row>
    <row r="38" spans="2:14" ht="21.9" customHeight="1">
      <c r="B38" s="566"/>
      <c r="C38" s="566"/>
      <c r="D38" s="566"/>
      <c r="E38" s="566"/>
      <c r="F38" s="566"/>
      <c r="G38" s="566"/>
      <c r="H38" s="568"/>
      <c r="K38" s="325"/>
    </row>
    <row r="39" spans="2:14" ht="21.9" customHeight="1">
      <c r="B39" s="566"/>
      <c r="C39" s="566"/>
      <c r="D39" s="566"/>
      <c r="E39" s="566"/>
      <c r="F39" s="566"/>
      <c r="G39" s="566"/>
      <c r="H39" s="568"/>
      <c r="K39" s="325"/>
    </row>
    <row r="40" spans="2:14" ht="21.9" customHeight="1" thickBot="1">
      <c r="B40" s="566"/>
      <c r="C40" s="566"/>
      <c r="D40" s="566"/>
      <c r="E40" s="566"/>
      <c r="F40" s="566"/>
      <c r="G40" s="566"/>
      <c r="H40" s="588"/>
    </row>
    <row r="41" spans="2:14" ht="21.9" customHeight="1" thickBot="1">
      <c r="B41" s="82" t="s">
        <v>328</v>
      </c>
      <c r="C41" s="323"/>
      <c r="D41" s="323"/>
      <c r="E41" s="323"/>
      <c r="F41" s="323"/>
      <c r="G41" s="323"/>
      <c r="H41" s="238">
        <f>SUM(H8:H40)</f>
        <v>353110.74</v>
      </c>
      <c r="J41" s="228"/>
    </row>
    <row r="42" spans="2:14" ht="13.8" thickTop="1"/>
    <row r="43" spans="2:14">
      <c r="I43" s="228"/>
    </row>
    <row r="44" spans="2:14">
      <c r="I44" s="228"/>
    </row>
    <row r="45" spans="2:14">
      <c r="I45" s="228"/>
    </row>
    <row r="46" spans="2:14">
      <c r="I46" s="228"/>
    </row>
    <row r="47" spans="2:14" ht="13.8">
      <c r="B47" s="1507" t="s">
        <v>760</v>
      </c>
      <c r="C47" s="1507"/>
      <c r="D47" s="1507"/>
      <c r="E47" s="1507"/>
      <c r="F47" s="1507"/>
      <c r="G47" s="1507"/>
      <c r="H47" s="1507"/>
    </row>
    <row r="48" spans="2:14">
      <c r="I48" s="228"/>
    </row>
    <row r="54" spans="8:8">
      <c r="H54" s="228"/>
    </row>
    <row r="55" spans="8:8">
      <c r="H55" s="228"/>
    </row>
  </sheetData>
  <sheetProtection password="CAF9"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B3:N55"/>
  <sheetViews>
    <sheetView workbookViewId="0">
      <selection activeCell="N26" sqref="N26"/>
    </sheetView>
  </sheetViews>
  <sheetFormatPr defaultColWidth="9.109375" defaultRowHeight="13.2"/>
  <cols>
    <col min="1" max="3" width="4.6640625" style="322" customWidth="1"/>
    <col min="4" max="4" width="12.33203125" style="322" customWidth="1"/>
    <col min="5" max="5" width="22.6640625" style="322" customWidth="1"/>
    <col min="6" max="6" width="25.88671875" style="322" customWidth="1"/>
    <col min="7" max="7" width="9.109375" style="322"/>
    <col min="8" max="8" width="16.6640625" style="322" customWidth="1"/>
    <col min="9" max="9" width="11.44140625" style="322" bestFit="1" customWidth="1"/>
    <col min="10" max="10" width="10.33203125" style="322" bestFit="1" customWidth="1"/>
    <col min="11" max="11" width="10.88671875" style="322" bestFit="1" customWidth="1"/>
    <col min="12" max="12" width="9.109375" style="322"/>
    <col min="13" max="13" width="12.44140625" style="287" bestFit="1" customWidth="1"/>
    <col min="14" max="14" width="10.44140625" style="287" bestFit="1" customWidth="1"/>
    <col min="15" max="16384" width="9.109375" style="322"/>
  </cols>
  <sheetData>
    <row r="3" spans="2:11" ht="22.8">
      <c r="B3" s="1548" t="s">
        <v>758</v>
      </c>
      <c r="C3" s="1548"/>
      <c r="D3" s="1548"/>
      <c r="E3" s="1548"/>
      <c r="F3" s="1548"/>
      <c r="G3" s="1548"/>
      <c r="H3" s="1548"/>
    </row>
    <row r="4" spans="2:11" ht="22.8">
      <c r="B4" s="1548" t="s">
        <v>759</v>
      </c>
      <c r="C4" s="1548"/>
      <c r="D4" s="1548"/>
      <c r="E4" s="1548"/>
      <c r="F4" s="1548"/>
      <c r="G4" s="1548"/>
      <c r="H4" s="1548"/>
    </row>
    <row r="5" spans="2:11" ht="15.6">
      <c r="B5" s="991"/>
      <c r="C5" s="991"/>
      <c r="D5" s="991"/>
      <c r="E5" s="991"/>
      <c r="F5" s="991"/>
      <c r="G5" s="991"/>
      <c r="H5" s="991"/>
    </row>
    <row r="6" spans="2:11" ht="8.25" customHeight="1" thickBot="1">
      <c r="B6" s="10"/>
      <c r="C6" s="10"/>
      <c r="D6" s="10"/>
      <c r="E6" s="10"/>
      <c r="F6" s="10"/>
      <c r="G6" s="10"/>
      <c r="H6" s="10"/>
    </row>
    <row r="7" spans="2:11" ht="32.1" customHeight="1" thickTop="1" thickBot="1">
      <c r="B7" s="1630" t="s">
        <v>211</v>
      </c>
      <c r="C7" s="1630"/>
      <c r="D7" s="1630"/>
      <c r="E7" s="1630"/>
      <c r="F7" s="1630"/>
      <c r="G7" s="1630"/>
      <c r="H7" s="1037" t="s">
        <v>757</v>
      </c>
    </row>
    <row r="8" spans="2:11" ht="21.9" customHeight="1" thickTop="1">
      <c r="B8" s="885"/>
      <c r="C8" s="884" t="s">
        <v>3547</v>
      </c>
      <c r="D8" s="885"/>
      <c r="E8" s="885"/>
      <c r="F8" s="885"/>
      <c r="G8" s="885"/>
      <c r="H8" s="886">
        <f>+'20-Misc Rev Not Ant'!H41</f>
        <v>353110.74</v>
      </c>
    </row>
    <row r="9" spans="2:11" ht="21.9" customHeight="1">
      <c r="B9" s="566"/>
      <c r="C9" s="567"/>
      <c r="D9" s="566"/>
      <c r="E9" s="566"/>
      <c r="F9" s="566"/>
      <c r="G9" s="566"/>
      <c r="H9" s="568"/>
      <c r="I9" s="325"/>
      <c r="J9" s="360"/>
      <c r="K9" s="325"/>
    </row>
    <row r="10" spans="2:11" ht="21.9" customHeight="1">
      <c r="B10" s="566"/>
      <c r="C10" s="567"/>
      <c r="D10" s="566"/>
      <c r="E10" s="566"/>
      <c r="F10" s="566"/>
      <c r="G10" s="566"/>
      <c r="H10" s="568"/>
      <c r="I10" s="325"/>
      <c r="J10" s="360"/>
      <c r="K10" s="325"/>
    </row>
    <row r="11" spans="2:11" ht="21.9" customHeight="1">
      <c r="B11" s="566"/>
      <c r="C11" s="567"/>
      <c r="D11" s="566"/>
      <c r="E11" s="566"/>
      <c r="F11" s="566"/>
      <c r="G11" s="566"/>
      <c r="H11" s="568"/>
      <c r="I11" s="325"/>
      <c r="J11" s="360"/>
      <c r="K11" s="325"/>
    </row>
    <row r="12" spans="2:11" ht="21.9" customHeight="1">
      <c r="B12" s="566"/>
      <c r="C12" s="567"/>
      <c r="D12" s="566"/>
      <c r="E12" s="566"/>
      <c r="F12" s="566"/>
      <c r="G12" s="566"/>
      <c r="H12" s="568"/>
      <c r="I12" s="325"/>
      <c r="J12" s="277"/>
      <c r="K12" s="325"/>
    </row>
    <row r="13" spans="2:11" ht="21.9" customHeight="1">
      <c r="B13" s="566"/>
      <c r="C13" s="567"/>
      <c r="D13" s="566"/>
      <c r="E13" s="566"/>
      <c r="F13" s="566"/>
      <c r="G13" s="566"/>
      <c r="H13" s="568"/>
      <c r="I13" s="325"/>
      <c r="J13" s="360"/>
      <c r="K13" s="325"/>
    </row>
    <row r="14" spans="2:11" ht="21.9" customHeight="1">
      <c r="B14" s="566"/>
      <c r="C14" s="567"/>
      <c r="D14" s="566"/>
      <c r="E14" s="566"/>
      <c r="F14" s="566"/>
      <c r="G14" s="566"/>
      <c r="H14" s="568"/>
      <c r="I14" s="325"/>
      <c r="J14" s="360"/>
      <c r="K14" s="325"/>
    </row>
    <row r="15" spans="2:11" ht="21.9" customHeight="1">
      <c r="B15" s="566"/>
      <c r="C15" s="567"/>
      <c r="D15" s="566"/>
      <c r="E15" s="566"/>
      <c r="F15" s="566"/>
      <c r="G15" s="566"/>
      <c r="H15" s="568"/>
      <c r="I15" s="325"/>
      <c r="J15" s="360"/>
      <c r="K15" s="325"/>
    </row>
    <row r="16" spans="2:11" ht="21.9" customHeight="1">
      <c r="B16" s="566"/>
      <c r="C16" s="567"/>
      <c r="D16" s="566"/>
      <c r="E16" s="566"/>
      <c r="F16" s="566"/>
      <c r="G16" s="566"/>
      <c r="H16" s="568"/>
      <c r="I16" s="325"/>
      <c r="J16" s="360"/>
      <c r="K16" s="325"/>
    </row>
    <row r="17" spans="2:14" ht="21.9" customHeight="1">
      <c r="B17" s="566"/>
      <c r="C17" s="566"/>
      <c r="D17" s="566"/>
      <c r="E17" s="566"/>
      <c r="F17" s="566"/>
      <c r="G17" s="566"/>
      <c r="H17" s="568"/>
      <c r="I17" s="325"/>
      <c r="J17" s="360"/>
      <c r="K17" s="325"/>
    </row>
    <row r="18" spans="2:14" ht="21.9" customHeight="1">
      <c r="B18" s="566"/>
      <c r="C18" s="566"/>
      <c r="D18" s="566"/>
      <c r="E18" s="566"/>
      <c r="F18" s="566"/>
      <c r="G18" s="566"/>
      <c r="H18" s="568"/>
      <c r="J18" s="360"/>
      <c r="K18" s="325"/>
    </row>
    <row r="19" spans="2:14" ht="21.9" customHeight="1">
      <c r="B19" s="566"/>
      <c r="C19" s="566"/>
      <c r="D19" s="566"/>
      <c r="E19" s="566"/>
      <c r="F19" s="566"/>
      <c r="G19" s="566"/>
      <c r="H19" s="568"/>
      <c r="J19" s="360"/>
      <c r="K19" s="325"/>
    </row>
    <row r="20" spans="2:14" ht="21.9" customHeight="1">
      <c r="B20" s="566"/>
      <c r="C20" s="566"/>
      <c r="D20" s="566"/>
      <c r="E20" s="566"/>
      <c r="F20" s="566"/>
      <c r="G20" s="566"/>
      <c r="H20" s="568"/>
      <c r="J20" s="277"/>
      <c r="K20" s="325"/>
    </row>
    <row r="21" spans="2:14" ht="21.9" customHeight="1">
      <c r="B21" s="566"/>
      <c r="C21" s="566"/>
      <c r="D21" s="566"/>
      <c r="E21" s="566"/>
      <c r="F21" s="566"/>
      <c r="G21" s="566"/>
      <c r="H21" s="568"/>
      <c r="J21" s="277"/>
      <c r="K21" s="325"/>
    </row>
    <row r="22" spans="2:14" ht="21.9" customHeight="1">
      <c r="B22" s="566"/>
      <c r="C22" s="566"/>
      <c r="D22" s="566"/>
      <c r="E22" s="566"/>
      <c r="F22" s="566"/>
      <c r="G22" s="566"/>
      <c r="H22" s="568"/>
      <c r="J22" s="360"/>
      <c r="K22" s="325"/>
    </row>
    <row r="23" spans="2:14" ht="21.9" customHeight="1">
      <c r="B23" s="566"/>
      <c r="C23" s="566"/>
      <c r="D23" s="566"/>
      <c r="E23" s="566"/>
      <c r="F23" s="566"/>
      <c r="G23" s="566"/>
      <c r="H23" s="568"/>
      <c r="J23" s="360"/>
      <c r="K23" s="325"/>
    </row>
    <row r="24" spans="2:14" ht="21.9" customHeight="1">
      <c r="B24" s="566"/>
      <c r="C24" s="566"/>
      <c r="D24" s="566"/>
      <c r="E24" s="566"/>
      <c r="F24" s="566"/>
      <c r="G24" s="566"/>
      <c r="H24" s="568"/>
      <c r="J24" s="360"/>
      <c r="K24" s="325"/>
    </row>
    <row r="25" spans="2:14" ht="21.9" customHeight="1">
      <c r="B25" s="566"/>
      <c r="C25" s="566"/>
      <c r="D25" s="566"/>
      <c r="E25" s="566"/>
      <c r="F25" s="566"/>
      <c r="G25" s="566"/>
      <c r="H25" s="568"/>
      <c r="J25" s="360"/>
      <c r="K25" s="325"/>
    </row>
    <row r="26" spans="2:14" ht="21.9" customHeight="1">
      <c r="B26" s="566"/>
      <c r="C26" s="566"/>
      <c r="D26" s="566"/>
      <c r="E26" s="566"/>
      <c r="F26" s="566"/>
      <c r="G26" s="566"/>
      <c r="H26" s="568"/>
      <c r="J26" s="360"/>
      <c r="K26" s="325"/>
    </row>
    <row r="27" spans="2:14" ht="21.9" customHeight="1">
      <c r="B27" s="566"/>
      <c r="C27" s="566"/>
      <c r="D27" s="566"/>
      <c r="E27" s="566"/>
      <c r="F27" s="566"/>
      <c r="G27" s="566"/>
      <c r="H27" s="568"/>
      <c r="J27" s="277"/>
      <c r="K27" s="325"/>
    </row>
    <row r="28" spans="2:14" ht="21.9" customHeight="1">
      <c r="B28" s="566"/>
      <c r="C28" s="566"/>
      <c r="D28" s="566"/>
      <c r="E28" s="566"/>
      <c r="F28" s="566"/>
      <c r="G28" s="566"/>
      <c r="H28" s="568"/>
      <c r="J28" s="277"/>
      <c r="K28" s="325"/>
    </row>
    <row r="29" spans="2:14" ht="21.9" customHeight="1">
      <c r="B29" s="566"/>
      <c r="C29" s="566"/>
      <c r="D29" s="566"/>
      <c r="E29" s="566"/>
      <c r="F29" s="566"/>
      <c r="G29" s="566"/>
      <c r="H29" s="568"/>
      <c r="J29" s="360"/>
      <c r="K29" s="325"/>
    </row>
    <row r="30" spans="2:14" ht="21.9" customHeight="1">
      <c r="B30" s="566"/>
      <c r="C30" s="566"/>
      <c r="D30" s="566"/>
      <c r="E30" s="566"/>
      <c r="F30" s="566"/>
      <c r="G30" s="566"/>
      <c r="H30" s="568"/>
      <c r="J30" s="277"/>
      <c r="K30" s="325"/>
    </row>
    <row r="31" spans="2:14" ht="21.9" customHeight="1">
      <c r="B31" s="566"/>
      <c r="C31" s="566"/>
      <c r="D31" s="566"/>
      <c r="E31" s="566"/>
      <c r="F31" s="566"/>
      <c r="G31" s="566"/>
      <c r="H31" s="568"/>
      <c r="J31" s="360"/>
      <c r="K31" s="325"/>
    </row>
    <row r="32" spans="2:14" ht="21.9" customHeight="1">
      <c r="B32" s="566"/>
      <c r="C32" s="566"/>
      <c r="D32" s="566"/>
      <c r="E32" s="566"/>
      <c r="F32" s="566"/>
      <c r="G32" s="566"/>
      <c r="H32" s="568"/>
      <c r="K32" s="325"/>
      <c r="M32" s="322"/>
      <c r="N32" s="325"/>
    </row>
    <row r="33" spans="2:11" ht="21.9" customHeight="1">
      <c r="B33" s="566"/>
      <c r="C33" s="566"/>
      <c r="D33" s="566"/>
      <c r="E33" s="566"/>
      <c r="F33" s="566"/>
      <c r="G33" s="566"/>
      <c r="H33" s="568"/>
      <c r="J33" s="338"/>
      <c r="K33" s="325"/>
    </row>
    <row r="34" spans="2:11" ht="21.9" customHeight="1">
      <c r="B34" s="566"/>
      <c r="C34" s="566"/>
      <c r="D34" s="566"/>
      <c r="E34" s="566"/>
      <c r="F34" s="566"/>
      <c r="G34" s="566"/>
      <c r="H34" s="568"/>
      <c r="J34" s="338"/>
      <c r="K34" s="325"/>
    </row>
    <row r="35" spans="2:11" ht="21.9" customHeight="1">
      <c r="B35" s="566"/>
      <c r="C35" s="566"/>
      <c r="D35" s="566"/>
      <c r="E35" s="566"/>
      <c r="F35" s="566"/>
      <c r="G35" s="566"/>
      <c r="H35" s="568"/>
      <c r="J35" s="338"/>
      <c r="K35" s="325"/>
    </row>
    <row r="36" spans="2:11" ht="21.9" customHeight="1">
      <c r="B36" s="566"/>
      <c r="C36" s="566"/>
      <c r="D36" s="566"/>
      <c r="E36" s="566"/>
      <c r="F36" s="566"/>
      <c r="G36" s="566"/>
      <c r="H36" s="568"/>
      <c r="J36" s="338"/>
      <c r="K36" s="325"/>
    </row>
    <row r="37" spans="2:11" ht="21.9" customHeight="1">
      <c r="B37" s="566"/>
      <c r="C37" s="566"/>
      <c r="D37" s="566"/>
      <c r="E37" s="566"/>
      <c r="F37" s="566"/>
      <c r="G37" s="566"/>
      <c r="H37" s="568"/>
      <c r="K37" s="325"/>
    </row>
    <row r="38" spans="2:11" ht="21.9" customHeight="1">
      <c r="B38" s="566"/>
      <c r="C38" s="566"/>
      <c r="D38" s="566"/>
      <c r="E38" s="566"/>
      <c r="F38" s="566"/>
      <c r="G38" s="566"/>
      <c r="H38" s="568"/>
      <c r="K38" s="325"/>
    </row>
    <row r="39" spans="2:11" ht="21.9" customHeight="1">
      <c r="B39" s="566"/>
      <c r="C39" s="566"/>
      <c r="D39" s="566"/>
      <c r="E39" s="566"/>
      <c r="F39" s="566"/>
      <c r="G39" s="566"/>
      <c r="H39" s="568"/>
      <c r="K39" s="325"/>
    </row>
    <row r="40" spans="2:11" ht="21.9" customHeight="1" thickBot="1">
      <c r="B40" s="566"/>
      <c r="C40" s="566"/>
      <c r="D40" s="566"/>
      <c r="E40" s="566"/>
      <c r="F40" s="566"/>
      <c r="G40" s="566"/>
      <c r="H40" s="588"/>
    </row>
    <row r="41" spans="2:11" ht="21.9" customHeight="1" thickBot="1">
      <c r="B41" s="82" t="s">
        <v>3620</v>
      </c>
      <c r="C41" s="323"/>
      <c r="D41" s="323"/>
      <c r="E41" s="323"/>
      <c r="F41" s="323"/>
      <c r="G41" s="323"/>
      <c r="H41" s="238">
        <f>SUM(H8:H40)</f>
        <v>353110.74</v>
      </c>
      <c r="J41" s="325"/>
    </row>
    <row r="42" spans="2:11" ht="13.8" thickTop="1"/>
    <row r="43" spans="2:11">
      <c r="I43" s="325"/>
    </row>
    <row r="44" spans="2:11">
      <c r="I44" s="325"/>
    </row>
    <row r="45" spans="2:11">
      <c r="I45" s="325"/>
    </row>
    <row r="46" spans="2:11">
      <c r="I46" s="325"/>
    </row>
    <row r="47" spans="2:11" ht="13.8">
      <c r="B47" s="1507" t="s">
        <v>3619</v>
      </c>
      <c r="C47" s="1507"/>
      <c r="D47" s="1507"/>
      <c r="E47" s="1507"/>
      <c r="F47" s="1507"/>
      <c r="G47" s="1507"/>
      <c r="H47" s="1507"/>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B1:N55"/>
  <sheetViews>
    <sheetView workbookViewId="0">
      <selection activeCell="H14" sqref="H14"/>
    </sheetView>
  </sheetViews>
  <sheetFormatPr defaultColWidth="9.109375" defaultRowHeight="13.2"/>
  <cols>
    <col min="1" max="3" width="4.6640625" style="322" customWidth="1"/>
    <col min="4" max="4" width="12.33203125" style="322" customWidth="1"/>
    <col min="5" max="5" width="22.6640625" style="322" customWidth="1"/>
    <col min="6" max="6" width="25.88671875" style="322" customWidth="1"/>
    <col min="7" max="7" width="9.109375" style="322"/>
    <col min="8" max="8" width="16.6640625" style="322" customWidth="1"/>
    <col min="9" max="9" width="11.44140625" style="322" bestFit="1" customWidth="1"/>
    <col min="10" max="10" width="10.33203125" style="322" bestFit="1" customWidth="1"/>
    <col min="11" max="11" width="10.88671875" style="322" bestFit="1" customWidth="1"/>
    <col min="12" max="12" width="9.109375" style="322"/>
    <col min="13" max="13" width="12.44140625" style="287" bestFit="1" customWidth="1"/>
    <col min="14" max="14" width="10.44140625" style="287" bestFit="1" customWidth="1"/>
    <col min="15" max="16384" width="9.109375" style="322"/>
  </cols>
  <sheetData>
    <row r="1" spans="2:11">
      <c r="B1" s="855"/>
      <c r="C1" s="855"/>
      <c r="D1" s="855"/>
      <c r="E1" s="855"/>
      <c r="F1" s="855"/>
      <c r="G1" s="855"/>
      <c r="H1" s="855"/>
    </row>
    <row r="2" spans="2:11">
      <c r="B2" s="855"/>
      <c r="C2" s="855"/>
      <c r="D2" s="855"/>
      <c r="E2" s="855"/>
      <c r="F2" s="855"/>
      <c r="G2" s="855"/>
      <c r="H2" s="855"/>
    </row>
    <row r="3" spans="2:11" ht="22.8">
      <c r="B3" s="1564" t="s">
        <v>758</v>
      </c>
      <c r="C3" s="1564"/>
      <c r="D3" s="1564"/>
      <c r="E3" s="1564"/>
      <c r="F3" s="1564"/>
      <c r="G3" s="1564"/>
      <c r="H3" s="1564"/>
    </row>
    <row r="4" spans="2:11" ht="22.8">
      <c r="B4" s="1564" t="s">
        <v>759</v>
      </c>
      <c r="C4" s="1564"/>
      <c r="D4" s="1564"/>
      <c r="E4" s="1564"/>
      <c r="F4" s="1564"/>
      <c r="G4" s="1564"/>
      <c r="H4" s="1564"/>
    </row>
    <row r="5" spans="2:11" ht="15.6">
      <c r="B5" s="1038"/>
      <c r="C5" s="1038"/>
      <c r="D5" s="1038"/>
      <c r="E5" s="1038"/>
      <c r="F5" s="1038"/>
      <c r="G5" s="1038"/>
      <c r="H5" s="1038"/>
    </row>
    <row r="6" spans="2:11" ht="8.25" customHeight="1" thickBot="1">
      <c r="B6" s="897"/>
      <c r="C6" s="897"/>
      <c r="D6" s="897"/>
      <c r="E6" s="897"/>
      <c r="F6" s="897"/>
      <c r="G6" s="897"/>
      <c r="H6" s="897"/>
    </row>
    <row r="7" spans="2:11" ht="32.1" customHeight="1" thickTop="1" thickBot="1">
      <c r="B7" s="1630" t="s">
        <v>211</v>
      </c>
      <c r="C7" s="1630"/>
      <c r="D7" s="1630"/>
      <c r="E7" s="1630"/>
      <c r="F7" s="1630"/>
      <c r="G7" s="1630"/>
      <c r="H7" s="1037" t="s">
        <v>757</v>
      </c>
    </row>
    <row r="8" spans="2:11" ht="21.9" customHeight="1" thickTop="1">
      <c r="B8" s="885"/>
      <c r="C8" s="884" t="s">
        <v>3547</v>
      </c>
      <c r="D8" s="885"/>
      <c r="E8" s="885"/>
      <c r="F8" s="885"/>
      <c r="G8" s="885"/>
      <c r="H8" s="886">
        <f>+'20.1-Misc Rev Not Ant'!H41</f>
        <v>353110.74</v>
      </c>
    </row>
    <row r="9" spans="2:11" ht="21.9" customHeight="1">
      <c r="B9" s="566"/>
      <c r="C9" s="567"/>
      <c r="D9" s="566"/>
      <c r="E9" s="566"/>
      <c r="F9" s="566"/>
      <c r="G9" s="566"/>
      <c r="H9" s="568"/>
      <c r="I9" s="325"/>
      <c r="J9" s="360"/>
      <c r="K9" s="325"/>
    </row>
    <row r="10" spans="2:11" ht="21.9" customHeight="1">
      <c r="B10" s="566"/>
      <c r="C10" s="567"/>
      <c r="D10" s="566"/>
      <c r="E10" s="566"/>
      <c r="F10" s="566"/>
      <c r="G10" s="566"/>
      <c r="H10" s="568"/>
      <c r="I10" s="325"/>
      <c r="J10" s="360"/>
      <c r="K10" s="325"/>
    </row>
    <row r="11" spans="2:11" ht="21.9" customHeight="1">
      <c r="B11" s="566"/>
      <c r="C11" s="567"/>
      <c r="D11" s="566"/>
      <c r="E11" s="566"/>
      <c r="F11" s="566"/>
      <c r="G11" s="566"/>
      <c r="H11" s="568"/>
      <c r="I11" s="325"/>
      <c r="J11" s="360"/>
      <c r="K11" s="325"/>
    </row>
    <row r="12" spans="2:11" ht="21.9" customHeight="1">
      <c r="B12" s="566"/>
      <c r="C12" s="567"/>
      <c r="D12" s="566"/>
      <c r="E12" s="566"/>
      <c r="F12" s="566"/>
      <c r="G12" s="566"/>
      <c r="H12" s="568"/>
      <c r="I12" s="325"/>
      <c r="J12" s="277"/>
      <c r="K12" s="325"/>
    </row>
    <row r="13" spans="2:11" ht="21.9" customHeight="1">
      <c r="B13" s="566"/>
      <c r="C13" s="567"/>
      <c r="D13" s="566"/>
      <c r="E13" s="566"/>
      <c r="F13" s="566"/>
      <c r="G13" s="566"/>
      <c r="H13" s="568"/>
      <c r="I13" s="325"/>
      <c r="J13" s="360"/>
      <c r="K13" s="325"/>
    </row>
    <row r="14" spans="2:11" ht="21.9" customHeight="1">
      <c r="B14" s="566"/>
      <c r="C14" s="567"/>
      <c r="D14" s="566"/>
      <c r="E14" s="566"/>
      <c r="F14" s="566"/>
      <c r="G14" s="566"/>
      <c r="H14" s="568"/>
      <c r="I14" s="325"/>
      <c r="J14" s="360"/>
      <c r="K14" s="325"/>
    </row>
    <row r="15" spans="2:11" ht="21.9" customHeight="1">
      <c r="B15" s="566"/>
      <c r="C15" s="567"/>
      <c r="D15" s="566"/>
      <c r="E15" s="566"/>
      <c r="F15" s="566"/>
      <c r="G15" s="566"/>
      <c r="H15" s="568"/>
      <c r="I15" s="325"/>
      <c r="J15" s="360"/>
      <c r="K15" s="325"/>
    </row>
    <row r="16" spans="2:11" ht="21.9" customHeight="1">
      <c r="B16" s="566"/>
      <c r="C16" s="567"/>
      <c r="D16" s="566"/>
      <c r="E16" s="566"/>
      <c r="F16" s="566"/>
      <c r="G16" s="566"/>
      <c r="H16" s="568"/>
      <c r="I16" s="325"/>
      <c r="J16" s="360"/>
      <c r="K16" s="325"/>
    </row>
    <row r="17" spans="2:14" ht="21.9" customHeight="1">
      <c r="B17" s="566"/>
      <c r="C17" s="566"/>
      <c r="D17" s="566"/>
      <c r="E17" s="566"/>
      <c r="F17" s="566"/>
      <c r="G17" s="566"/>
      <c r="H17" s="568"/>
      <c r="I17" s="325"/>
      <c r="J17" s="360"/>
      <c r="K17" s="325"/>
    </row>
    <row r="18" spans="2:14" ht="21.9" customHeight="1">
      <c r="B18" s="566"/>
      <c r="C18" s="566"/>
      <c r="D18" s="566"/>
      <c r="E18" s="566"/>
      <c r="F18" s="566"/>
      <c r="G18" s="566"/>
      <c r="H18" s="568"/>
      <c r="J18" s="360"/>
      <c r="K18" s="325"/>
    </row>
    <row r="19" spans="2:14" ht="21.9" customHeight="1">
      <c r="B19" s="566"/>
      <c r="C19" s="566"/>
      <c r="D19" s="566"/>
      <c r="E19" s="566"/>
      <c r="F19" s="566"/>
      <c r="G19" s="566"/>
      <c r="H19" s="568"/>
      <c r="J19" s="360"/>
      <c r="K19" s="325"/>
    </row>
    <row r="20" spans="2:14" ht="21.9" customHeight="1">
      <c r="B20" s="566"/>
      <c r="C20" s="566"/>
      <c r="D20" s="566"/>
      <c r="E20" s="566"/>
      <c r="F20" s="566"/>
      <c r="G20" s="566"/>
      <c r="H20" s="568"/>
      <c r="J20" s="277"/>
      <c r="K20" s="325"/>
    </row>
    <row r="21" spans="2:14" ht="21.9" customHeight="1">
      <c r="B21" s="566"/>
      <c r="C21" s="566"/>
      <c r="D21" s="566"/>
      <c r="E21" s="566"/>
      <c r="F21" s="566"/>
      <c r="G21" s="566"/>
      <c r="H21" s="568"/>
      <c r="J21" s="277"/>
      <c r="K21" s="325"/>
    </row>
    <row r="22" spans="2:14" ht="21.9" customHeight="1">
      <c r="B22" s="566"/>
      <c r="C22" s="566"/>
      <c r="D22" s="566"/>
      <c r="E22" s="566"/>
      <c r="F22" s="566"/>
      <c r="G22" s="566"/>
      <c r="H22" s="568"/>
      <c r="J22" s="360"/>
      <c r="K22" s="325"/>
    </row>
    <row r="23" spans="2:14" ht="21.9" customHeight="1">
      <c r="B23" s="566"/>
      <c r="C23" s="566"/>
      <c r="D23" s="566"/>
      <c r="E23" s="566"/>
      <c r="F23" s="566"/>
      <c r="G23" s="566"/>
      <c r="H23" s="568"/>
      <c r="J23" s="360"/>
      <c r="K23" s="325"/>
    </row>
    <row r="24" spans="2:14" ht="21.9" customHeight="1">
      <c r="B24" s="566"/>
      <c r="C24" s="566"/>
      <c r="D24" s="566"/>
      <c r="E24" s="566"/>
      <c r="F24" s="566"/>
      <c r="G24" s="566"/>
      <c r="H24" s="568"/>
      <c r="J24" s="360"/>
      <c r="K24" s="325"/>
    </row>
    <row r="25" spans="2:14" ht="21.9" customHeight="1">
      <c r="B25" s="566"/>
      <c r="C25" s="566"/>
      <c r="D25" s="566"/>
      <c r="E25" s="566"/>
      <c r="F25" s="566"/>
      <c r="G25" s="566"/>
      <c r="H25" s="568"/>
      <c r="J25" s="360"/>
      <c r="K25" s="325"/>
    </row>
    <row r="26" spans="2:14" ht="21.9" customHeight="1">
      <c r="B26" s="566"/>
      <c r="C26" s="566"/>
      <c r="D26" s="566"/>
      <c r="E26" s="566"/>
      <c r="F26" s="566"/>
      <c r="G26" s="566"/>
      <c r="H26" s="568"/>
      <c r="J26" s="360"/>
      <c r="K26" s="325"/>
    </row>
    <row r="27" spans="2:14" ht="21.9" customHeight="1">
      <c r="B27" s="566"/>
      <c r="C27" s="566"/>
      <c r="D27" s="566"/>
      <c r="E27" s="566"/>
      <c r="F27" s="566"/>
      <c r="G27" s="566"/>
      <c r="H27" s="568"/>
      <c r="J27" s="277"/>
      <c r="K27" s="325"/>
    </row>
    <row r="28" spans="2:14" ht="21.9" customHeight="1">
      <c r="B28" s="566"/>
      <c r="C28" s="566"/>
      <c r="D28" s="566"/>
      <c r="E28" s="566"/>
      <c r="F28" s="566"/>
      <c r="G28" s="566"/>
      <c r="H28" s="568"/>
      <c r="J28" s="277"/>
      <c r="K28" s="325"/>
    </row>
    <row r="29" spans="2:14" ht="21.9" customHeight="1">
      <c r="B29" s="566"/>
      <c r="C29" s="566"/>
      <c r="D29" s="566"/>
      <c r="E29" s="566"/>
      <c r="F29" s="566"/>
      <c r="G29" s="566"/>
      <c r="H29" s="568"/>
      <c r="J29" s="360"/>
      <c r="K29" s="325"/>
    </row>
    <row r="30" spans="2:14" ht="21.9" customHeight="1">
      <c r="B30" s="566"/>
      <c r="C30" s="566"/>
      <c r="D30" s="566"/>
      <c r="E30" s="566"/>
      <c r="F30" s="566"/>
      <c r="G30" s="566"/>
      <c r="H30" s="568"/>
      <c r="J30" s="277"/>
      <c r="K30" s="325"/>
    </row>
    <row r="31" spans="2:14" ht="21.9" customHeight="1">
      <c r="B31" s="566"/>
      <c r="C31" s="566"/>
      <c r="D31" s="566"/>
      <c r="E31" s="566"/>
      <c r="F31" s="566"/>
      <c r="G31" s="566"/>
      <c r="H31" s="568"/>
      <c r="J31" s="360"/>
      <c r="K31" s="325"/>
    </row>
    <row r="32" spans="2:14" ht="21.9" customHeight="1">
      <c r="B32" s="566"/>
      <c r="C32" s="566"/>
      <c r="D32" s="566"/>
      <c r="E32" s="566"/>
      <c r="F32" s="566"/>
      <c r="G32" s="566"/>
      <c r="H32" s="568"/>
      <c r="K32" s="325"/>
      <c r="M32" s="322"/>
      <c r="N32" s="325"/>
    </row>
    <row r="33" spans="2:11" ht="21.9" customHeight="1">
      <c r="B33" s="566"/>
      <c r="C33" s="566"/>
      <c r="D33" s="566"/>
      <c r="E33" s="566"/>
      <c r="F33" s="566"/>
      <c r="G33" s="566"/>
      <c r="H33" s="568"/>
      <c r="J33" s="338"/>
      <c r="K33" s="325"/>
    </row>
    <row r="34" spans="2:11" ht="21.9" customHeight="1">
      <c r="B34" s="566"/>
      <c r="C34" s="566"/>
      <c r="D34" s="566"/>
      <c r="E34" s="566"/>
      <c r="F34" s="566"/>
      <c r="G34" s="566"/>
      <c r="H34" s="568"/>
      <c r="J34" s="338"/>
      <c r="K34" s="325"/>
    </row>
    <row r="35" spans="2:11" ht="21.9" customHeight="1">
      <c r="B35" s="566"/>
      <c r="C35" s="566"/>
      <c r="D35" s="566"/>
      <c r="E35" s="566"/>
      <c r="F35" s="566"/>
      <c r="G35" s="566"/>
      <c r="H35" s="568"/>
      <c r="J35" s="338"/>
      <c r="K35" s="325"/>
    </row>
    <row r="36" spans="2:11" ht="21.9" customHeight="1">
      <c r="B36" s="566"/>
      <c r="C36" s="566"/>
      <c r="D36" s="566"/>
      <c r="E36" s="566"/>
      <c r="F36" s="566"/>
      <c r="G36" s="566"/>
      <c r="H36" s="568"/>
      <c r="J36" s="338"/>
      <c r="K36" s="325"/>
    </row>
    <row r="37" spans="2:11" ht="21.9" customHeight="1">
      <c r="B37" s="566"/>
      <c r="C37" s="566"/>
      <c r="D37" s="566"/>
      <c r="E37" s="566"/>
      <c r="F37" s="566"/>
      <c r="G37" s="566"/>
      <c r="H37" s="568"/>
      <c r="K37" s="325"/>
    </row>
    <row r="38" spans="2:11" ht="21.9" customHeight="1">
      <c r="B38" s="566"/>
      <c r="C38" s="566"/>
      <c r="D38" s="566"/>
      <c r="E38" s="566"/>
      <c r="F38" s="566"/>
      <c r="G38" s="566"/>
      <c r="H38" s="568"/>
      <c r="K38" s="325"/>
    </row>
    <row r="39" spans="2:11" ht="21.9" customHeight="1">
      <c r="B39" s="566"/>
      <c r="C39" s="566"/>
      <c r="D39" s="566"/>
      <c r="E39" s="566"/>
      <c r="F39" s="566"/>
      <c r="G39" s="566"/>
      <c r="H39" s="568"/>
      <c r="K39" s="325"/>
    </row>
    <row r="40" spans="2:11" ht="21.9" customHeight="1" thickBot="1">
      <c r="B40" s="566"/>
      <c r="C40" s="566"/>
      <c r="D40" s="566"/>
      <c r="E40" s="566"/>
      <c r="F40" s="566"/>
      <c r="G40" s="566"/>
      <c r="H40" s="588"/>
    </row>
    <row r="41" spans="2:11" ht="21.9" customHeight="1" thickBot="1">
      <c r="B41" s="82" t="s">
        <v>328</v>
      </c>
      <c r="C41" s="323"/>
      <c r="D41" s="323"/>
      <c r="E41" s="323"/>
      <c r="F41" s="323"/>
      <c r="G41" s="323"/>
      <c r="H41" s="238">
        <f>SUM(H8:H40)</f>
        <v>353110.74</v>
      </c>
      <c r="J41" s="325"/>
    </row>
    <row r="42" spans="2:11" ht="13.8" thickTop="1"/>
    <row r="43" spans="2:11">
      <c r="I43" s="325"/>
    </row>
    <row r="44" spans="2:11">
      <c r="I44" s="325"/>
    </row>
    <row r="45" spans="2:11">
      <c r="I45" s="325"/>
    </row>
    <row r="46" spans="2:11">
      <c r="I46" s="325"/>
    </row>
    <row r="47" spans="2:11" ht="13.8">
      <c r="B47" s="1507" t="s">
        <v>3621</v>
      </c>
      <c r="C47" s="1507"/>
      <c r="D47" s="1507"/>
      <c r="E47" s="1507"/>
      <c r="F47" s="1507"/>
      <c r="G47" s="1507"/>
      <c r="H47" s="1507"/>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57"/>
  <sheetViews>
    <sheetView zoomScaleNormal="100" zoomScaleSheetLayoutView="80" workbookViewId="0">
      <selection activeCell="B8" sqref="B8:H8"/>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277" customWidth="1"/>
    <col min="9" max="9" width="3.6640625" style="322" bestFit="1" customWidth="1"/>
    <col min="10" max="10" width="13.5546875" style="322" bestFit="1" customWidth="1"/>
    <col min="11" max="11" width="11.109375" style="322" bestFit="1" customWidth="1"/>
    <col min="12" max="16384" width="9.109375" style="322"/>
  </cols>
  <sheetData>
    <row r="2" spans="2:11">
      <c r="B2" s="1554" t="s">
        <v>129</v>
      </c>
      <c r="C2" s="1554"/>
      <c r="D2" s="1554"/>
      <c r="E2" s="1554"/>
      <c r="F2" s="1554"/>
      <c r="G2" s="1554"/>
      <c r="H2" s="1554"/>
    </row>
    <row r="4" spans="2:11" ht="22.8">
      <c r="B4" s="1548" t="s">
        <v>543</v>
      </c>
      <c r="C4" s="1548"/>
      <c r="D4" s="1548"/>
      <c r="E4" s="1548"/>
      <c r="F4" s="1548"/>
      <c r="G4" s="1548"/>
      <c r="H4" s="1548"/>
    </row>
    <row r="5" spans="2:11" ht="22.8">
      <c r="B5" s="1548" t="s">
        <v>571</v>
      </c>
      <c r="C5" s="1548"/>
      <c r="D5" s="1548"/>
      <c r="E5" s="1548"/>
      <c r="F5" s="1548"/>
      <c r="G5" s="1548"/>
      <c r="H5" s="1548"/>
    </row>
    <row r="6" spans="2:11" ht="15.6">
      <c r="B6" s="1555" t="str">
        <f>'KEY INPUTS'!D44</f>
        <v>AS  AT  DECEMBER  31, 2019</v>
      </c>
      <c r="C6" s="1509"/>
      <c r="D6" s="1509"/>
      <c r="E6" s="1509"/>
      <c r="F6" s="1509"/>
      <c r="G6" s="1509"/>
      <c r="H6" s="1509"/>
    </row>
    <row r="8" spans="2:11" ht="15" customHeight="1" thickBot="1">
      <c r="B8" s="1556" t="s">
        <v>123</v>
      </c>
      <c r="C8" s="1556"/>
      <c r="D8" s="1556"/>
      <c r="E8" s="1556"/>
      <c r="F8" s="1556"/>
      <c r="G8" s="1556"/>
      <c r="H8" s="1556"/>
    </row>
    <row r="9" spans="2:11" ht="36" customHeight="1" thickTop="1" thickBot="1">
      <c r="B9" s="1552" t="s">
        <v>124</v>
      </c>
      <c r="C9" s="1552"/>
      <c r="D9" s="1552"/>
      <c r="E9" s="1552"/>
      <c r="F9" s="1553"/>
      <c r="G9" s="259" t="s">
        <v>125</v>
      </c>
      <c r="H9" s="260" t="s">
        <v>126</v>
      </c>
    </row>
    <row r="10" spans="2:11" ht="21" customHeight="1" thickTop="1">
      <c r="B10" s="192" t="s">
        <v>3790</v>
      </c>
      <c r="C10" s="779"/>
      <c r="D10" s="779"/>
      <c r="E10" s="779"/>
      <c r="F10" s="1484"/>
      <c r="G10" s="780">
        <f>'3a-Trial Bal-Current Fund'!G44</f>
        <v>36356097.839999989</v>
      </c>
      <c r="H10" s="835">
        <f>'3a-Trial Bal-Current Fund'!H44</f>
        <v>28074499.470000003</v>
      </c>
    </row>
    <row r="11" spans="2:11" ht="21" customHeight="1">
      <c r="B11" s="834"/>
      <c r="C11" s="1481"/>
      <c r="D11" s="1482"/>
      <c r="E11" s="1482"/>
      <c r="F11" s="1483"/>
      <c r="G11" s="372"/>
      <c r="H11" s="589"/>
      <c r="J11" s="385"/>
    </row>
    <row r="12" spans="2:11" ht="21" customHeight="1">
      <c r="B12" s="567"/>
      <c r="C12" s="1481"/>
      <c r="D12" s="1482"/>
      <c r="E12" s="1482"/>
      <c r="F12" s="1483"/>
      <c r="G12" s="372"/>
      <c r="H12" s="589"/>
      <c r="I12" s="118"/>
      <c r="J12" s="325"/>
      <c r="K12" s="325"/>
    </row>
    <row r="13" spans="2:11" ht="21" customHeight="1">
      <c r="B13" s="567"/>
      <c r="C13" s="1481"/>
      <c r="D13" s="1482"/>
      <c r="E13" s="1482"/>
      <c r="F13" s="1483"/>
      <c r="G13" s="372"/>
      <c r="H13" s="589"/>
      <c r="I13" s="118"/>
      <c r="J13" s="325"/>
      <c r="K13" s="325"/>
    </row>
    <row r="14" spans="2:11" ht="21" customHeight="1">
      <c r="B14" s="567"/>
      <c r="C14" s="1481"/>
      <c r="D14" s="1482"/>
      <c r="E14" s="1482"/>
      <c r="F14" s="1483"/>
      <c r="G14" s="372"/>
      <c r="H14" s="589"/>
      <c r="I14" s="118"/>
      <c r="J14" s="325"/>
      <c r="K14" s="325"/>
    </row>
    <row r="15" spans="2:11" ht="21" customHeight="1">
      <c r="B15" s="567"/>
      <c r="C15" s="1481"/>
      <c r="D15" s="1482"/>
      <c r="E15" s="1482"/>
      <c r="F15" s="1483"/>
      <c r="G15" s="372"/>
      <c r="H15" s="589"/>
      <c r="I15" s="118"/>
      <c r="J15" s="325"/>
      <c r="K15" s="325"/>
    </row>
    <row r="16" spans="2:11" ht="21" customHeight="1">
      <c r="B16" s="567"/>
      <c r="C16" s="1481"/>
      <c r="D16" s="1482"/>
      <c r="E16" s="1482"/>
      <c r="F16" s="1483"/>
      <c r="G16" s="372"/>
      <c r="H16" s="589"/>
      <c r="I16" s="118"/>
      <c r="J16" s="325"/>
      <c r="K16" s="325"/>
    </row>
    <row r="17" spans="2:11" ht="21" customHeight="1">
      <c r="B17" s="567"/>
      <c r="C17" s="1481"/>
      <c r="D17" s="1482"/>
      <c r="E17" s="1482"/>
      <c r="F17" s="1483"/>
      <c r="G17" s="372"/>
      <c r="H17" s="589"/>
      <c r="I17" s="118"/>
      <c r="J17" s="325"/>
      <c r="K17" s="325"/>
    </row>
    <row r="18" spans="2:11" ht="21" customHeight="1">
      <c r="B18" s="567"/>
      <c r="C18" s="1481"/>
      <c r="D18" s="1482"/>
      <c r="E18" s="1482"/>
      <c r="F18" s="1483"/>
      <c r="G18" s="372"/>
      <c r="H18" s="589"/>
      <c r="I18" s="118"/>
      <c r="J18" s="325"/>
    </row>
    <row r="19" spans="2:11" ht="21" customHeight="1">
      <c r="B19" s="567"/>
      <c r="C19" s="1481"/>
      <c r="D19" s="1482"/>
      <c r="E19" s="1482"/>
      <c r="F19" s="1483"/>
      <c r="G19" s="372"/>
      <c r="H19" s="589"/>
      <c r="I19" s="118"/>
      <c r="J19" s="325"/>
    </row>
    <row r="20" spans="2:11" ht="21" customHeight="1">
      <c r="B20" s="567"/>
      <c r="C20" s="1481"/>
      <c r="D20" s="1482"/>
      <c r="E20" s="1482"/>
      <c r="F20" s="1483"/>
      <c r="G20" s="372"/>
      <c r="H20" s="589"/>
      <c r="I20" s="118"/>
      <c r="J20" s="325"/>
      <c r="K20" s="325"/>
    </row>
    <row r="21" spans="2:11" ht="21" customHeight="1">
      <c r="B21" s="567"/>
      <c r="C21" s="1481"/>
      <c r="D21" s="1482"/>
      <c r="E21" s="1482"/>
      <c r="F21" s="1483"/>
      <c r="G21" s="372"/>
      <c r="H21" s="589"/>
      <c r="I21" s="118"/>
      <c r="J21" s="325"/>
      <c r="K21" s="325"/>
    </row>
    <row r="22" spans="2:11" ht="21" customHeight="1">
      <c r="B22" s="567"/>
      <c r="C22" s="1481"/>
      <c r="D22" s="1482"/>
      <c r="E22" s="1482"/>
      <c r="F22" s="1483"/>
      <c r="G22" s="372"/>
      <c r="H22" s="589"/>
      <c r="I22" s="118"/>
    </row>
    <row r="23" spans="2:11" ht="21" customHeight="1">
      <c r="B23" s="567"/>
      <c r="C23" s="1481"/>
      <c r="D23" s="1482"/>
      <c r="E23" s="1482"/>
      <c r="F23" s="1483"/>
      <c r="G23" s="372"/>
      <c r="H23" s="589"/>
      <c r="I23" s="118"/>
      <c r="J23" s="325"/>
    </row>
    <row r="24" spans="2:11" ht="21" customHeight="1" thickBot="1">
      <c r="B24" s="567"/>
      <c r="C24" s="1481"/>
      <c r="D24" s="1482"/>
      <c r="E24" s="1482"/>
      <c r="F24" s="1483"/>
      <c r="G24" s="586"/>
      <c r="H24" s="1489"/>
      <c r="I24" s="118"/>
      <c r="J24" s="325"/>
    </row>
    <row r="25" spans="2:11" ht="21" customHeight="1">
      <c r="B25" s="845"/>
      <c r="C25" s="1254"/>
      <c r="D25" s="1255"/>
      <c r="E25" s="1255"/>
      <c r="F25" s="640" t="s">
        <v>463</v>
      </c>
      <c r="G25" s="1490">
        <f>SUM(G10:G24)</f>
        <v>36356097.839999989</v>
      </c>
      <c r="H25" s="1487">
        <f>SUM(H10:H24)</f>
        <v>28074499.470000003</v>
      </c>
      <c r="I25" s="118" t="s">
        <v>998</v>
      </c>
      <c r="J25" s="325"/>
      <c r="K25" s="325"/>
    </row>
    <row r="26" spans="2:11" ht="21" customHeight="1">
      <c r="B26" s="567"/>
      <c r="C26" s="1481"/>
      <c r="D26" s="1482"/>
      <c r="E26" s="1482"/>
      <c r="F26" s="1483"/>
      <c r="G26" s="372"/>
      <c r="H26" s="589"/>
      <c r="I26" s="118"/>
      <c r="J26" s="325"/>
    </row>
    <row r="27" spans="2:11" ht="21" customHeight="1">
      <c r="B27" s="567"/>
      <c r="C27" s="1481"/>
      <c r="D27" s="1482"/>
      <c r="E27" s="1482"/>
      <c r="F27" s="1483"/>
      <c r="G27" s="372"/>
      <c r="H27" s="589"/>
      <c r="I27" s="118"/>
      <c r="J27" s="325"/>
      <c r="K27" s="325"/>
    </row>
    <row r="28" spans="2:11" ht="21" customHeight="1">
      <c r="B28" s="567"/>
      <c r="C28" s="1481"/>
      <c r="D28" s="1482"/>
      <c r="E28" s="1482"/>
      <c r="F28" s="1483"/>
      <c r="G28" s="372"/>
      <c r="H28" s="589"/>
      <c r="I28" s="118"/>
      <c r="J28" s="325"/>
      <c r="K28" s="325"/>
    </row>
    <row r="29" spans="2:11" ht="21" customHeight="1">
      <c r="B29" s="1557"/>
      <c r="C29" s="1557"/>
      <c r="D29" s="1557"/>
      <c r="E29" s="1557"/>
      <c r="F29" s="1558"/>
      <c r="G29" s="372"/>
      <c r="H29" s="589"/>
      <c r="I29" s="118"/>
      <c r="J29" s="325"/>
      <c r="K29" s="325"/>
    </row>
    <row r="30" spans="2:11" ht="21" customHeight="1">
      <c r="B30" s="1557"/>
      <c r="C30" s="1557"/>
      <c r="D30" s="1557"/>
      <c r="E30" s="1557"/>
      <c r="F30" s="1558"/>
      <c r="G30" s="372"/>
      <c r="H30" s="589"/>
      <c r="I30" s="118"/>
    </row>
    <row r="31" spans="2:11" ht="21" customHeight="1">
      <c r="B31" s="1557"/>
      <c r="C31" s="1557"/>
      <c r="D31" s="1557"/>
      <c r="E31" s="1557"/>
      <c r="F31" s="1558"/>
      <c r="G31" s="372"/>
      <c r="H31" s="589"/>
      <c r="I31" s="118"/>
      <c r="J31" s="325"/>
      <c r="K31" s="325"/>
    </row>
    <row r="32" spans="2:11" ht="21" customHeight="1">
      <c r="B32" s="1557"/>
      <c r="C32" s="1557"/>
      <c r="D32" s="1557"/>
      <c r="E32" s="1557"/>
      <c r="F32" s="1558"/>
      <c r="G32" s="372"/>
      <c r="H32" s="589"/>
      <c r="I32" s="118"/>
      <c r="J32" s="325"/>
      <c r="K32" s="325"/>
    </row>
    <row r="33" spans="2:11" ht="21" customHeight="1">
      <c r="B33" s="1557"/>
      <c r="C33" s="1557"/>
      <c r="D33" s="1557"/>
      <c r="E33" s="1557"/>
      <c r="F33" s="1558"/>
      <c r="G33" s="372"/>
      <c r="H33" s="589"/>
      <c r="I33" s="118"/>
      <c r="J33" s="325"/>
      <c r="K33" s="325"/>
    </row>
    <row r="34" spans="2:11" ht="21" customHeight="1">
      <c r="B34" s="1557"/>
      <c r="C34" s="1557"/>
      <c r="D34" s="1557"/>
      <c r="E34" s="1557"/>
      <c r="F34" s="1558"/>
      <c r="G34" s="372"/>
      <c r="H34" s="589"/>
      <c r="I34" s="118"/>
      <c r="J34" s="325"/>
      <c r="K34" s="325"/>
    </row>
    <row r="35" spans="2:11" ht="21" customHeight="1">
      <c r="B35" s="1557"/>
      <c r="C35" s="1557"/>
      <c r="D35" s="1557"/>
      <c r="E35" s="1557"/>
      <c r="F35" s="1558"/>
      <c r="G35" s="372"/>
      <c r="H35" s="662"/>
      <c r="I35" s="118"/>
      <c r="J35" s="325"/>
      <c r="K35" s="325"/>
    </row>
    <row r="36" spans="2:11" ht="21" customHeight="1">
      <c r="B36" s="1557"/>
      <c r="C36" s="1557"/>
      <c r="D36" s="1557"/>
      <c r="E36" s="1557"/>
      <c r="F36" s="1558"/>
      <c r="G36" s="372"/>
      <c r="H36" s="568"/>
      <c r="I36" s="118"/>
    </row>
    <row r="37" spans="2:11" ht="21" customHeight="1">
      <c r="B37" s="323"/>
      <c r="C37" s="323"/>
      <c r="D37" s="323"/>
      <c r="E37" s="323"/>
      <c r="F37" s="323"/>
      <c r="G37" s="337"/>
      <c r="H37" s="268"/>
      <c r="I37" s="118"/>
      <c r="J37" s="711"/>
    </row>
    <row r="38" spans="2:11" ht="21" customHeight="1">
      <c r="B38" s="323"/>
      <c r="C38" s="323"/>
      <c r="D38" s="323"/>
      <c r="E38" s="323"/>
      <c r="F38" s="323"/>
      <c r="G38" s="337"/>
      <c r="H38" s="311"/>
      <c r="I38" s="118"/>
    </row>
    <row r="39" spans="2:11" ht="21" customHeight="1">
      <c r="B39" s="323"/>
      <c r="C39" s="323" t="s">
        <v>999</v>
      </c>
      <c r="D39" s="323"/>
      <c r="E39" s="323"/>
      <c r="F39" s="323"/>
      <c r="G39" s="722"/>
      <c r="H39" s="311">
        <f>SUM('3-Trial Bal-Current Fund'!G17:G35)</f>
        <v>2301744.4999999884</v>
      </c>
      <c r="I39" s="118"/>
      <c r="J39" s="325"/>
      <c r="K39" s="325"/>
    </row>
    <row r="40" spans="2:11" ht="21" customHeight="1">
      <c r="B40" s="323"/>
      <c r="C40" s="323" t="s">
        <v>149</v>
      </c>
      <c r="D40" s="323"/>
      <c r="E40" s="323"/>
      <c r="F40" s="323"/>
      <c r="G40" s="337">
        <f>+'13-Other Taxes'!G18+'14-Other Taxes'!G40+'14-Other Taxes'!G19</f>
        <v>10642000</v>
      </c>
      <c r="H40" s="915"/>
      <c r="I40" s="118"/>
      <c r="J40" s="325"/>
      <c r="K40" s="325"/>
    </row>
    <row r="41" spans="2:11" ht="21" customHeight="1">
      <c r="B41" s="323"/>
      <c r="C41" s="323" t="s">
        <v>150</v>
      </c>
      <c r="D41" s="323"/>
      <c r="E41" s="323"/>
      <c r="F41" s="323"/>
      <c r="G41" s="908"/>
      <c r="H41" s="311">
        <f>+G40</f>
        <v>10642000</v>
      </c>
      <c r="I41" s="118"/>
      <c r="J41" s="325"/>
      <c r="K41" s="325"/>
    </row>
    <row r="42" spans="2:11" ht="21" customHeight="1">
      <c r="B42" s="323"/>
      <c r="C42" s="323" t="s">
        <v>1000</v>
      </c>
      <c r="D42" s="323"/>
      <c r="E42" s="323"/>
      <c r="F42" s="323"/>
      <c r="G42" s="722"/>
      <c r="H42" s="311">
        <f>+'21-Current Fund Surplus'!K14</f>
        <v>5979853.8700000048</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1001</v>
      </c>
      <c r="G44" s="362">
        <f>SUM(G25:G43)</f>
        <v>46998097.839999989</v>
      </c>
      <c r="H44" s="270">
        <f>SUM(H25:H42)</f>
        <v>46998097.839999996</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511" t="s">
        <v>127</v>
      </c>
      <c r="C47" s="1511"/>
      <c r="D47" s="1511"/>
      <c r="E47" s="1511"/>
      <c r="F47" s="1511"/>
      <c r="G47" s="1511"/>
      <c r="H47" s="1511"/>
    </row>
    <row r="48" spans="2:11" ht="13.8">
      <c r="B48" s="1507" t="s">
        <v>3789</v>
      </c>
      <c r="C48" s="1507"/>
      <c r="D48" s="1507"/>
      <c r="E48" s="1507"/>
      <c r="F48" s="1507"/>
      <c r="G48" s="1507"/>
      <c r="H48" s="1507"/>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9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B3:N52"/>
  <sheetViews>
    <sheetView topLeftCell="A19" zoomScaleNormal="100" workbookViewId="0">
      <selection activeCell="L39" sqref="L39"/>
    </sheetView>
  </sheetViews>
  <sheetFormatPr defaultRowHeight="13.2"/>
  <cols>
    <col min="1" max="5" width="4.6640625" customWidth="1"/>
    <col min="9" max="9" width="6.33203125" customWidth="1"/>
    <col min="11" max="12" width="16.6640625" customWidth="1"/>
    <col min="13" max="13" width="13.5546875" bestFit="1" customWidth="1"/>
    <col min="14" max="14" width="10.88671875" bestFit="1" customWidth="1"/>
  </cols>
  <sheetData>
    <row r="3" spans="2:13" ht="22.8">
      <c r="B3" s="1548" t="s">
        <v>383</v>
      </c>
      <c r="C3" s="1548"/>
      <c r="D3" s="1548"/>
      <c r="E3" s="1548"/>
      <c r="F3" s="1548"/>
      <c r="G3" s="1548"/>
      <c r="H3" s="1548"/>
      <c r="I3" s="1548"/>
      <c r="J3" s="1548"/>
      <c r="K3" s="1548"/>
      <c r="L3" s="1548"/>
    </row>
    <row r="4" spans="2:13" ht="22.8">
      <c r="B4" s="1632" t="str">
        <f>'KEY INPUTS'!D48</f>
        <v>YEAR  - 2018</v>
      </c>
      <c r="C4" s="1548"/>
      <c r="D4" s="1548"/>
      <c r="E4" s="1548"/>
      <c r="F4" s="1548"/>
      <c r="G4" s="1548"/>
      <c r="H4" s="1548"/>
      <c r="I4" s="1548"/>
      <c r="J4" s="1548"/>
      <c r="K4" s="1548"/>
      <c r="L4" s="1548"/>
    </row>
    <row r="5" spans="2:13" ht="13.8"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1068</v>
      </c>
      <c r="K7" s="51" t="s">
        <v>788</v>
      </c>
      <c r="L7" s="590">
        <v>3772389.22</v>
      </c>
      <c r="M7" s="744"/>
    </row>
    <row r="8" spans="2:13" ht="21" customHeight="1">
      <c r="B8" s="87" t="s">
        <v>385</v>
      </c>
      <c r="C8" s="566"/>
      <c r="D8" s="566"/>
      <c r="E8" s="566"/>
      <c r="F8" s="566"/>
      <c r="G8" s="566"/>
      <c r="H8" s="5"/>
      <c r="I8" s="5"/>
      <c r="J8" s="5"/>
      <c r="K8" s="46" t="s">
        <v>788</v>
      </c>
      <c r="L8" s="589"/>
    </row>
    <row r="9" spans="2:13" ht="21" customHeight="1">
      <c r="B9" s="87" t="s">
        <v>386</v>
      </c>
      <c r="C9" s="281" t="str">
        <f>"Excess Resulting from "&amp;TEXT('KEY INPUTS'!D34,"0")&amp;" Operations"</f>
        <v>Excess Resulting from 2019 Operations</v>
      </c>
      <c r="D9" s="5"/>
      <c r="E9" s="5"/>
      <c r="F9" s="5"/>
      <c r="G9" s="5"/>
      <c r="H9" s="5"/>
      <c r="I9" s="5"/>
      <c r="J9" s="5" t="s">
        <v>1069</v>
      </c>
      <c r="K9" s="46" t="s">
        <v>788</v>
      </c>
      <c r="L9" s="214">
        <f>+'19-Results of Op-Cur Fnd'!H44</f>
        <v>5307464.6500000041</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1070</v>
      </c>
      <c r="K10" s="335">
        <f>+'17-Budget Revenues'!H6</f>
        <v>3100000</v>
      </c>
      <c r="L10" s="47" t="s">
        <v>788</v>
      </c>
    </row>
    <row r="11" spans="2:13" ht="11.25" customHeight="1">
      <c r="B11" s="85" t="s">
        <v>388</v>
      </c>
      <c r="C11" s="280" t="str">
        <f>"Amount Appropriated in "&amp;TEXT('KEY INPUTS'!D34,"0")&amp;" Budget - with Prior Written-"</f>
        <v>Amount Appropriated in 2019 Budget - with Prior Written-</v>
      </c>
      <c r="K11" s="104"/>
      <c r="L11" s="988"/>
    </row>
    <row r="12" spans="2:13" ht="12.75" customHeight="1">
      <c r="B12" s="88"/>
      <c r="C12" s="30" t="s">
        <v>1066</v>
      </c>
      <c r="D12" s="30"/>
      <c r="E12" s="30"/>
      <c r="F12" s="30"/>
      <c r="G12" s="30"/>
      <c r="H12" s="30"/>
      <c r="I12" s="30"/>
      <c r="J12" s="30" t="s">
        <v>1067</v>
      </c>
      <c r="K12" s="103">
        <f>+'17-Budget Revenues'!H8</f>
        <v>0</v>
      </c>
      <c r="L12" s="989" t="s">
        <v>788</v>
      </c>
    </row>
    <row r="13" spans="2:13" ht="21" customHeight="1">
      <c r="B13" s="87" t="s">
        <v>389</v>
      </c>
      <c r="C13" s="566"/>
      <c r="D13" s="566"/>
      <c r="E13" s="566"/>
      <c r="F13" s="566"/>
      <c r="G13" s="566"/>
      <c r="H13" s="5"/>
      <c r="I13" s="5"/>
      <c r="J13" s="5"/>
      <c r="K13" s="372"/>
      <c r="L13" s="47" t="s">
        <v>788</v>
      </c>
    </row>
    <row r="14" spans="2:13" ht="21" customHeight="1" thickBot="1">
      <c r="B14" s="87" t="s">
        <v>390</v>
      </c>
      <c r="C14" s="5" t="str">
        <f>'KEY INPUTS'!D26</f>
        <v>Balance - December 31, 2019</v>
      </c>
      <c r="D14" s="5"/>
      <c r="E14" s="5"/>
      <c r="F14" s="5"/>
      <c r="G14" s="5"/>
      <c r="H14" s="5"/>
      <c r="I14" s="5"/>
      <c r="J14" s="5" t="s">
        <v>1071</v>
      </c>
      <c r="K14" s="235">
        <f>+L7+L8+L9-K10-K12-K13</f>
        <v>5979853.8700000048</v>
      </c>
      <c r="L14" s="48" t="s">
        <v>788</v>
      </c>
      <c r="M14" s="228"/>
    </row>
    <row r="15" spans="2:13" ht="21" customHeight="1" thickBot="1">
      <c r="K15" s="219">
        <f>SUM(K10:K14)</f>
        <v>9079853.8700000048</v>
      </c>
      <c r="L15" s="234">
        <f>SUM(L7:L14)</f>
        <v>9079853.8700000048</v>
      </c>
      <c r="M15" s="228"/>
    </row>
    <row r="16" spans="2:13" ht="13.8" thickTop="1"/>
    <row r="17" spans="2:13">
      <c r="L17" s="228"/>
    </row>
    <row r="19" spans="2:13" ht="17.399999999999999">
      <c r="B19" s="1559" t="str">
        <f>"ANALYSIS OF BALANCE DECEMBER 31, "&amp;TEXT('KEY INPUTS'!D34,"0")</f>
        <v>ANALYSIS OF BALANCE DECEMBER 31, 2019</v>
      </c>
      <c r="C19" s="1559"/>
      <c r="D19" s="1559"/>
      <c r="E19" s="1559"/>
      <c r="F19" s="1559"/>
      <c r="G19" s="1559"/>
      <c r="H19" s="1559"/>
      <c r="I19" s="1559"/>
      <c r="J19" s="1559"/>
      <c r="K19" s="1559"/>
      <c r="L19" s="1559"/>
    </row>
    <row r="20" spans="2:13" ht="17.399999999999999">
      <c r="B20" s="1559" t="s">
        <v>1072</v>
      </c>
      <c r="C20" s="1559"/>
      <c r="D20" s="1559"/>
      <c r="E20" s="1559"/>
      <c r="F20" s="1559"/>
      <c r="G20" s="1559"/>
      <c r="H20" s="1559"/>
      <c r="I20" s="1559"/>
      <c r="J20" s="1559"/>
      <c r="K20" s="1559"/>
      <c r="L20" s="1559"/>
    </row>
    <row r="21" spans="2:13" ht="13.8"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1073</v>
      </c>
      <c r="L23" s="221">
        <f>+'3-Trial Bal-Current Fund'!G11</f>
        <v>33818416.800000004</v>
      </c>
      <c r="M23" s="744"/>
    </row>
    <row r="24" spans="2:13" ht="21" customHeight="1" thickTop="1">
      <c r="B24" s="5" t="s">
        <v>419</v>
      </c>
      <c r="C24" s="5"/>
      <c r="D24" s="5"/>
      <c r="E24" s="5"/>
      <c r="F24" s="5"/>
      <c r="G24" s="5"/>
      <c r="H24" s="5"/>
      <c r="I24" s="5"/>
      <c r="J24" s="5"/>
      <c r="K24" s="49" t="s">
        <v>1074</v>
      </c>
      <c r="L24" s="587">
        <f>+'3-Trial Bal-Current Fund'!G12</f>
        <v>25936.54</v>
      </c>
      <c r="M24" s="711"/>
    </row>
    <row r="25" spans="2:13" ht="21" customHeight="1" thickBot="1">
      <c r="B25" s="567"/>
      <c r="C25" s="566"/>
      <c r="D25" s="566"/>
      <c r="E25" s="566"/>
      <c r="F25" s="566"/>
      <c r="G25" s="566"/>
      <c r="H25" s="566"/>
      <c r="I25" s="566"/>
      <c r="J25" s="5"/>
      <c r="K25" s="49"/>
      <c r="L25" s="585"/>
    </row>
    <row r="26" spans="2:13" ht="21" customHeight="1">
      <c r="B26" s="5" t="s">
        <v>887</v>
      </c>
      <c r="C26" s="5"/>
      <c r="D26" s="5"/>
      <c r="E26" s="5"/>
      <c r="F26" s="5"/>
      <c r="G26" s="5"/>
      <c r="H26" s="5"/>
      <c r="I26" s="5"/>
      <c r="J26" s="5"/>
      <c r="K26" s="49"/>
      <c r="L26" s="223">
        <f>+L23+L24+L25</f>
        <v>33844353.340000004</v>
      </c>
    </row>
    <row r="27" spans="2:13" ht="21" customHeight="1" thickBot="1">
      <c r="B27" s="5" t="s">
        <v>470</v>
      </c>
      <c r="C27" s="5"/>
      <c r="D27" s="5"/>
      <c r="E27" s="5"/>
      <c r="F27" s="5"/>
      <c r="G27" s="5"/>
      <c r="H27" s="5"/>
      <c r="I27" s="5"/>
      <c r="J27" s="5"/>
      <c r="K27" s="49" t="s">
        <v>1075</v>
      </c>
      <c r="L27" s="237">
        <f>+'3a.1-Trial Bal-Current Fund'!H25</f>
        <v>28074499.470000003</v>
      </c>
      <c r="M27" s="711"/>
    </row>
    <row r="28" spans="2:13" ht="21" customHeight="1" thickBot="1">
      <c r="B28" s="5" t="s">
        <v>471</v>
      </c>
      <c r="C28" s="5"/>
      <c r="D28" s="5"/>
      <c r="E28" s="5"/>
      <c r="F28" s="5"/>
      <c r="G28" s="5"/>
      <c r="H28" s="5"/>
      <c r="I28" s="5"/>
      <c r="J28" s="5"/>
      <c r="K28" s="49" t="s">
        <v>1076</v>
      </c>
      <c r="L28" s="223">
        <f>+L26-L27</f>
        <v>5769853.870000001</v>
      </c>
    </row>
    <row r="29" spans="2:13" ht="21" customHeight="1" thickTop="1">
      <c r="B29" s="5" t="s">
        <v>472</v>
      </c>
      <c r="C29" s="5"/>
      <c r="D29" s="5"/>
      <c r="E29" s="5"/>
      <c r="F29" s="5"/>
      <c r="G29" s="5"/>
      <c r="H29" s="5"/>
      <c r="I29" s="5"/>
      <c r="J29" s="5"/>
      <c r="K29" s="49" t="s">
        <v>1077</v>
      </c>
      <c r="L29" s="587"/>
    </row>
    <row r="30" spans="2:13" ht="21" customHeight="1">
      <c r="B30" s="5" t="s">
        <v>477</v>
      </c>
      <c r="C30" s="5"/>
      <c r="D30" s="5"/>
      <c r="E30" s="5"/>
      <c r="F30" s="5"/>
      <c r="G30" s="5"/>
      <c r="H30" s="5"/>
      <c r="I30" s="5"/>
      <c r="J30" s="5"/>
      <c r="K30" s="24"/>
      <c r="L30" s="236"/>
    </row>
    <row r="31" spans="2:13" ht="22.5" customHeight="1">
      <c r="B31" s="5"/>
      <c r="C31" s="1631" t="s">
        <v>478</v>
      </c>
      <c r="D31" s="1631"/>
      <c r="E31" s="1631"/>
      <c r="F31" s="1631"/>
      <c r="G31" s="1631"/>
      <c r="H31" s="90"/>
      <c r="I31" s="5"/>
      <c r="J31" s="5" t="s">
        <v>1078</v>
      </c>
      <c r="K31" s="335">
        <f>+'3-Trial Bal-Current Fund'!G13</f>
        <v>0</v>
      </c>
      <c r="L31" s="236"/>
    </row>
    <row r="32" spans="2:13" ht="21" customHeight="1">
      <c r="B32" s="5"/>
      <c r="C32" s="5" t="s">
        <v>473</v>
      </c>
      <c r="D32" s="5"/>
      <c r="E32" s="5"/>
      <c r="F32" s="5"/>
      <c r="G32" s="5"/>
      <c r="H32" s="5"/>
      <c r="I32" s="5"/>
      <c r="J32" s="5" t="s">
        <v>1079</v>
      </c>
      <c r="K32" s="372">
        <v>210000</v>
      </c>
      <c r="L32" s="236"/>
      <c r="M32" s="743"/>
    </row>
    <row r="33" spans="2:14" ht="21" customHeight="1">
      <c r="B33" s="5"/>
      <c r="C33" s="5" t="s">
        <v>474</v>
      </c>
      <c r="D33" s="5"/>
      <c r="E33" s="5"/>
      <c r="F33" s="5"/>
      <c r="G33" s="5"/>
      <c r="H33" s="5"/>
      <c r="I33" s="5"/>
      <c r="J33" s="5" t="s">
        <v>1080</v>
      </c>
      <c r="K33" s="372"/>
      <c r="L33" s="236"/>
      <c r="M33" s="743"/>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475</v>
      </c>
      <c r="E38" s="5"/>
      <c r="F38" s="5"/>
      <c r="G38" s="5"/>
      <c r="H38" s="5"/>
      <c r="I38" s="5"/>
      <c r="J38" s="5"/>
      <c r="K38" s="75" t="s">
        <v>417</v>
      </c>
      <c r="L38" s="237">
        <f>SUM(K31:K37)</f>
        <v>210000</v>
      </c>
    </row>
    <row r="39" spans="2:14" ht="21" customHeight="1" thickBot="1">
      <c r="B39" t="s">
        <v>1135</v>
      </c>
      <c r="K39" s="38" t="s">
        <v>418</v>
      </c>
      <c r="L39" s="238">
        <f>+L28+L38</f>
        <v>5979853.870000001</v>
      </c>
      <c r="M39" s="228"/>
      <c r="N39" s="325"/>
    </row>
    <row r="40" spans="2:14" ht="14.4" thickTop="1">
      <c r="C40" t="s">
        <v>1136</v>
      </c>
      <c r="L40" s="93"/>
    </row>
    <row r="41" spans="2:14">
      <c r="B41" s="280" t="str">
        <f>"# MAY NOT BE ANTICIPATED AS NON-CASH SURPLUS IN "&amp;TEXT('KEY INPUTS'!D33,"0")&amp;" BUDGET."</f>
        <v># MAY NOT BE ANTICIPATED AS NON-CASH SURPLUS IN 2020 BUDGET.</v>
      </c>
      <c r="L41" s="228"/>
    </row>
    <row r="42" spans="2:14">
      <c r="B42" t="s">
        <v>979</v>
      </c>
    </row>
    <row r="44" spans="2:14">
      <c r="B44" s="100" t="s">
        <v>1137</v>
      </c>
    </row>
    <row r="45" spans="2:14">
      <c r="B45" s="100" t="s">
        <v>1138</v>
      </c>
    </row>
    <row r="46" spans="2:14">
      <c r="B46" s="100" t="s">
        <v>0</v>
      </c>
    </row>
    <row r="50" spans="2:12" ht="13.8">
      <c r="B50" s="1507" t="s">
        <v>476</v>
      </c>
      <c r="C50" s="1507"/>
      <c r="D50" s="1507"/>
      <c r="E50" s="1507"/>
      <c r="F50" s="1507"/>
      <c r="G50" s="1507"/>
      <c r="H50" s="1507"/>
      <c r="I50" s="1507"/>
      <c r="J50" s="1507"/>
      <c r="K50" s="1507"/>
      <c r="L50" s="1507"/>
    </row>
    <row r="52" spans="2:12">
      <c r="L52" s="228"/>
    </row>
  </sheetData>
  <sheetProtection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2:Q63"/>
  <sheetViews>
    <sheetView topLeftCell="A22" zoomScaleNormal="100" workbookViewId="0">
      <selection activeCell="T50" sqref="T50"/>
    </sheetView>
  </sheetViews>
  <sheetFormatPr defaultRowHeight="13.2"/>
  <cols>
    <col min="1" max="1" width="4.6640625" customWidth="1"/>
    <col min="2" max="2" width="4.33203125" customWidth="1"/>
    <col min="3" max="3" width="5.33203125" customWidth="1"/>
    <col min="4" max="4" width="4.6640625" customWidth="1"/>
    <col min="5" max="5" width="6.44140625" customWidth="1"/>
    <col min="6" max="6" width="7.6640625" customWidth="1"/>
    <col min="7" max="7" width="2.6640625" customWidth="1"/>
    <col min="8" max="8" width="9.6640625" customWidth="1"/>
    <col min="9" max="9" width="1.6640625" customWidth="1"/>
    <col min="10" max="10" width="16.6640625" customWidth="1"/>
    <col min="11" max="11" width="1.6640625" customWidth="1"/>
    <col min="12" max="12" width="16.6640625" customWidth="1"/>
    <col min="13" max="13" width="1.6640625" customWidth="1"/>
    <col min="14" max="14" width="16.6640625" customWidth="1"/>
    <col min="15" max="15" width="13.5546875" bestFit="1" customWidth="1"/>
    <col min="17" max="17" width="10.88671875" bestFit="1" customWidth="1"/>
  </cols>
  <sheetData>
    <row r="2" spans="2:17" ht="15.6">
      <c r="B2" s="1542" t="s">
        <v>479</v>
      </c>
      <c r="C2" s="1542"/>
      <c r="D2" s="1542"/>
      <c r="E2" s="1542"/>
      <c r="F2" s="1542"/>
      <c r="G2" s="1542"/>
      <c r="H2" s="1542"/>
      <c r="I2" s="1542"/>
      <c r="J2" s="1542"/>
      <c r="K2" s="1542"/>
      <c r="L2" s="1542"/>
      <c r="M2" s="1542"/>
      <c r="N2" s="1542"/>
    </row>
    <row r="3" spans="2:17" ht="22.8">
      <c r="B3" s="1548" t="str">
        <f>"CURRENT TAXES - "&amp;TEXT('KEY INPUTS'!D34,"0")&amp; " LEVY"</f>
        <v>CURRENT TAXES - 2019 LEVY</v>
      </c>
      <c r="C3" s="1548"/>
      <c r="D3" s="1548"/>
      <c r="E3" s="1548"/>
      <c r="F3" s="1548"/>
      <c r="G3" s="1548"/>
      <c r="H3" s="1548"/>
      <c r="I3" s="1548"/>
      <c r="J3" s="1548"/>
      <c r="K3" s="1548"/>
      <c r="L3" s="1548"/>
      <c r="M3" s="1548"/>
      <c r="N3" s="1548"/>
    </row>
    <row r="5" spans="2:17">
      <c r="B5" s="85" t="s">
        <v>384</v>
      </c>
      <c r="C5" t="s">
        <v>480</v>
      </c>
      <c r="L5" s="38" t="s">
        <v>481</v>
      </c>
      <c r="M5" t="s">
        <v>482</v>
      </c>
      <c r="N5" s="580">
        <f>120157831.41-15655.74</f>
        <v>120142175.67</v>
      </c>
      <c r="O5" s="228"/>
      <c r="Q5" s="291"/>
    </row>
    <row r="6" spans="2:17">
      <c r="B6" s="85"/>
      <c r="G6" s="1" t="s">
        <v>485</v>
      </c>
      <c r="Q6" s="291"/>
    </row>
    <row r="7" spans="2:17">
      <c r="B7" s="85"/>
      <c r="F7" t="s">
        <v>486</v>
      </c>
      <c r="L7" s="38" t="s">
        <v>483</v>
      </c>
      <c r="M7" t="s">
        <v>482</v>
      </c>
      <c r="N7" s="580"/>
    </row>
    <row r="8" spans="2:17">
      <c r="B8" s="85"/>
    </row>
    <row r="9" spans="2:17">
      <c r="B9" s="85" t="s">
        <v>385</v>
      </c>
      <c r="C9" t="s">
        <v>980</v>
      </c>
      <c r="L9" s="38" t="s">
        <v>484</v>
      </c>
      <c r="M9" t="s">
        <v>482</v>
      </c>
      <c r="N9" s="580"/>
    </row>
    <row r="10" spans="2:17">
      <c r="B10" s="85"/>
    </row>
    <row r="11" spans="2:17">
      <c r="B11" s="85" t="s">
        <v>386</v>
      </c>
      <c r="C11" t="s">
        <v>490</v>
      </c>
    </row>
    <row r="12" spans="2:17">
      <c r="B12" s="85"/>
      <c r="C12" t="s">
        <v>488</v>
      </c>
      <c r="L12" s="38" t="s">
        <v>492</v>
      </c>
      <c r="M12" t="s">
        <v>482</v>
      </c>
      <c r="N12" s="580">
        <v>1499.3</v>
      </c>
      <c r="O12" s="228"/>
    </row>
    <row r="13" spans="2:17">
      <c r="B13" s="85"/>
    </row>
    <row r="14" spans="2:17">
      <c r="B14" s="85" t="s">
        <v>387</v>
      </c>
      <c r="C14" t="s">
        <v>487</v>
      </c>
    </row>
    <row r="15" spans="2:17">
      <c r="B15" s="85"/>
      <c r="C15" t="s">
        <v>489</v>
      </c>
      <c r="L15" s="38" t="s">
        <v>491</v>
      </c>
      <c r="M15" t="s">
        <v>482</v>
      </c>
      <c r="N15" s="580">
        <v>185077.51</v>
      </c>
    </row>
    <row r="16" spans="2:17">
      <c r="B16" s="85"/>
    </row>
    <row r="17" spans="2:15">
      <c r="B17" s="85" t="s">
        <v>493</v>
      </c>
      <c r="C17" s="280" t="str">
        <f>"Subtotal "&amp;TEXT('KEY INPUTS'!D34,"0")&amp;" Levy"</f>
        <v>Subtotal 2019 Levy</v>
      </c>
      <c r="I17" t="s">
        <v>482</v>
      </c>
      <c r="J17" s="272">
        <f>SUM(N5:N15)</f>
        <v>120328752.48</v>
      </c>
      <c r="K17" s="277"/>
      <c r="L17" s="277"/>
      <c r="M17" s="277"/>
      <c r="N17" s="277"/>
    </row>
    <row r="18" spans="2:15">
      <c r="B18" s="85" t="s">
        <v>494</v>
      </c>
      <c r="C18" t="s">
        <v>495</v>
      </c>
      <c r="I18" t="s">
        <v>482</v>
      </c>
      <c r="J18" s="580"/>
      <c r="K18" s="277"/>
      <c r="L18" s="277"/>
      <c r="M18" s="277"/>
      <c r="N18" s="277"/>
    </row>
    <row r="19" spans="2:15" ht="13.8" thickBot="1">
      <c r="B19" s="85" t="s">
        <v>496</v>
      </c>
      <c r="C19" s="280" t="str">
        <f>"Total "&amp;TEXT('KEY INPUTS'!D34,"0") &amp; " Tax Levy"</f>
        <v>Total 2019 Tax Levy</v>
      </c>
      <c r="J19" s="277"/>
      <c r="K19" s="277"/>
      <c r="L19" s="358" t="s">
        <v>497</v>
      </c>
      <c r="M19" s="277" t="s">
        <v>482</v>
      </c>
      <c r="N19" s="359">
        <f>+J17-J18</f>
        <v>120328752.48</v>
      </c>
    </row>
    <row r="20" spans="2:15" ht="13.8" thickTop="1">
      <c r="B20" s="85"/>
      <c r="J20" s="277"/>
      <c r="K20" s="277"/>
      <c r="L20" s="277"/>
      <c r="M20" s="277"/>
      <c r="N20" s="277"/>
    </row>
    <row r="21" spans="2:15" ht="21" customHeight="1">
      <c r="B21" s="85" t="s">
        <v>389</v>
      </c>
      <c r="C21" t="s">
        <v>205</v>
      </c>
      <c r="J21" s="277"/>
      <c r="K21" s="277"/>
      <c r="L21" s="358" t="s">
        <v>498</v>
      </c>
      <c r="M21" s="277" t="s">
        <v>482</v>
      </c>
      <c r="N21" s="580">
        <v>42251.26</v>
      </c>
      <c r="O21" s="228"/>
    </row>
    <row r="22" spans="2:15" ht="21" customHeight="1">
      <c r="B22" s="85" t="s">
        <v>390</v>
      </c>
      <c r="C22" t="s">
        <v>499</v>
      </c>
      <c r="J22" s="277"/>
      <c r="K22" s="277"/>
      <c r="L22" s="358" t="s">
        <v>500</v>
      </c>
      <c r="M22" s="277" t="s">
        <v>482</v>
      </c>
      <c r="N22" s="580"/>
    </row>
    <row r="23" spans="2:15" ht="21" customHeight="1">
      <c r="B23" s="85" t="s">
        <v>501</v>
      </c>
      <c r="C23" t="s">
        <v>1047</v>
      </c>
      <c r="J23" s="277"/>
      <c r="K23" s="277"/>
      <c r="L23" s="358" t="s">
        <v>500</v>
      </c>
      <c r="M23" s="277" t="s">
        <v>482</v>
      </c>
      <c r="N23" s="580">
        <v>16346.89</v>
      </c>
      <c r="O23" s="228"/>
    </row>
    <row r="24" spans="2:15" ht="21" customHeight="1">
      <c r="B24" s="85" t="s">
        <v>502</v>
      </c>
      <c r="C24" t="s">
        <v>1048</v>
      </c>
      <c r="J24" s="277"/>
      <c r="K24" s="277"/>
      <c r="L24" s="358" t="s">
        <v>500</v>
      </c>
      <c r="M24" s="277" t="s">
        <v>482</v>
      </c>
      <c r="N24" s="580"/>
    </row>
    <row r="25" spans="2:15" ht="21" customHeight="1">
      <c r="B25" s="85" t="s">
        <v>503</v>
      </c>
      <c r="C25" s="280" t="str">
        <f>"Collected in Cash:  In "&amp;TEXT('KEY INPUTS'!D35,"0")</f>
        <v>Collected in Cash:  In 2018</v>
      </c>
      <c r="J25" s="358" t="s">
        <v>1049</v>
      </c>
      <c r="K25" s="277" t="s">
        <v>482</v>
      </c>
      <c r="L25" s="580">
        <v>800440.51</v>
      </c>
      <c r="M25" s="277"/>
      <c r="N25" s="277"/>
      <c r="O25" s="228"/>
    </row>
    <row r="26" spans="2:15" ht="21" customHeight="1">
      <c r="B26" s="85"/>
      <c r="F26" s="302" t="str">
        <f>"In "&amp;TEXT('KEY INPUTS'!D34,"0")&amp;" *"</f>
        <v>In 2019 *</v>
      </c>
      <c r="J26" s="358" t="s">
        <v>1050</v>
      </c>
      <c r="K26" s="277" t="s">
        <v>482</v>
      </c>
      <c r="L26" s="580">
        <f>118164062.37-1292653.48</f>
        <v>116871408.89</v>
      </c>
      <c r="M26" s="277"/>
      <c r="N26" s="277"/>
      <c r="O26" s="228"/>
    </row>
    <row r="27" spans="2:15" ht="21" customHeight="1">
      <c r="B27" s="85"/>
      <c r="C27" t="s">
        <v>1156</v>
      </c>
      <c r="J27" s="358"/>
      <c r="K27" s="277" t="s">
        <v>482</v>
      </c>
      <c r="L27" s="1505">
        <v>1292653.48</v>
      </c>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482</v>
      </c>
      <c r="L30" s="272">
        <f>+'23-SCVet Deductions'!G37</f>
        <v>309964.5</v>
      </c>
      <c r="M30" s="277"/>
      <c r="N30" s="277"/>
    </row>
    <row r="31" spans="2:15">
      <c r="B31" s="85"/>
      <c r="J31" s="277"/>
      <c r="K31" s="277"/>
      <c r="L31" s="277"/>
      <c r="M31" s="277"/>
      <c r="N31" s="277"/>
    </row>
    <row r="32" spans="2:15" ht="13.8" thickBot="1">
      <c r="B32" s="85"/>
      <c r="C32" t="s">
        <v>286</v>
      </c>
      <c r="J32" s="38" t="s">
        <v>287</v>
      </c>
      <c r="K32" t="s">
        <v>482</v>
      </c>
      <c r="L32" s="84">
        <f>SUM(L25:L30)</f>
        <v>119274467.38000001</v>
      </c>
    </row>
    <row r="33" spans="2:15" ht="13.8" thickTop="1">
      <c r="B33" s="85"/>
    </row>
    <row r="34" spans="2:15" ht="21" customHeight="1" thickBot="1">
      <c r="B34" s="85" t="s">
        <v>288</v>
      </c>
      <c r="C34" t="s">
        <v>289</v>
      </c>
      <c r="M34" t="s">
        <v>482</v>
      </c>
      <c r="N34" s="84">
        <f>+SUM(N21:N24)+L32</f>
        <v>119333065.53000002</v>
      </c>
    </row>
    <row r="35" spans="2:15" ht="21" customHeight="1" thickTop="1">
      <c r="B35" s="85" t="s">
        <v>290</v>
      </c>
      <c r="C35" s="280" t="str">
        <f>"Amount Outstanding  December 31, "&amp;TEXT('KEY INPUTS'!D34,"0")</f>
        <v>Amount Outstanding  December 31, 2019</v>
      </c>
      <c r="L35" s="38" t="s">
        <v>291</v>
      </c>
      <c r="M35" t="s">
        <v>482</v>
      </c>
      <c r="N35" s="67">
        <f>+N19-N34</f>
        <v>995686.94999998808</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6">
      <c r="B38" s="85"/>
      <c r="C38" t="s">
        <v>294</v>
      </c>
      <c r="H38" s="771">
        <f>TRUNC(+L32/N19, 4)</f>
        <v>0.99119999999999997</v>
      </c>
      <c r="O38" s="228"/>
    </row>
    <row r="39" spans="2:15">
      <c r="B39" s="85"/>
      <c r="H39" s="57" t="s">
        <v>295</v>
      </c>
    </row>
    <row r="40" spans="2:15">
      <c r="B40" s="85"/>
    </row>
    <row r="41" spans="2:15">
      <c r="B41" s="91" t="s">
        <v>719</v>
      </c>
    </row>
    <row r="42" spans="2:15">
      <c r="B42" s="85"/>
    </row>
    <row r="43" spans="2:15">
      <c r="B43" s="85" t="s">
        <v>720</v>
      </c>
      <c r="C43" s="37" t="s">
        <v>721</v>
      </c>
    </row>
    <row r="44" spans="2:15">
      <c r="B44" s="85"/>
    </row>
    <row r="45" spans="2:15">
      <c r="B45" s="85"/>
      <c r="C45" t="s">
        <v>722</v>
      </c>
      <c r="K45" t="s">
        <v>482</v>
      </c>
      <c r="L45" s="67">
        <f>+L32</f>
        <v>119274467.38000001</v>
      </c>
    </row>
    <row r="46" spans="2:15">
      <c r="B46" s="85"/>
      <c r="C46" t="s">
        <v>723</v>
      </c>
      <c r="D46" t="s">
        <v>724</v>
      </c>
    </row>
    <row r="47" spans="2:15">
      <c r="B47" s="85"/>
      <c r="D47" t="s">
        <v>725</v>
      </c>
      <c r="K47" t="s">
        <v>482</v>
      </c>
      <c r="L47" s="580"/>
    </row>
    <row r="48" spans="2:15" ht="21" customHeight="1">
      <c r="B48" s="85"/>
      <c r="C48" t="s">
        <v>726</v>
      </c>
      <c r="K48" t="s">
        <v>482</v>
      </c>
      <c r="L48" s="67">
        <f>+L45-L47</f>
        <v>119274467.38000001</v>
      </c>
    </row>
    <row r="49" spans="1:14">
      <c r="B49" s="85"/>
    </row>
    <row r="50" spans="1:14">
      <c r="A50" s="100"/>
      <c r="B50" s="203" t="s">
        <v>1</v>
      </c>
      <c r="C50" s="100" t="s">
        <v>2</v>
      </c>
    </row>
    <row r="51" spans="1:14">
      <c r="A51" s="100"/>
      <c r="B51" s="100"/>
      <c r="C51" s="100" t="s">
        <v>3</v>
      </c>
    </row>
    <row r="52" spans="1:14">
      <c r="A52" s="100"/>
      <c r="B52" s="100"/>
      <c r="C52" s="100" t="s">
        <v>901</v>
      </c>
    </row>
    <row r="53" spans="1:14">
      <c r="A53" s="100"/>
      <c r="B53" s="100"/>
      <c r="C53" s="204" t="s">
        <v>372</v>
      </c>
    </row>
    <row r="54" spans="1:14">
      <c r="A54" s="100"/>
      <c r="B54" s="100"/>
      <c r="C54" s="100" t="s">
        <v>925</v>
      </c>
    </row>
    <row r="56" spans="1:14">
      <c r="A56" s="100"/>
      <c r="B56" s="203" t="s">
        <v>926</v>
      </c>
      <c r="C56" s="100" t="s">
        <v>466</v>
      </c>
    </row>
    <row r="57" spans="1:14">
      <c r="A57" s="100"/>
      <c r="B57" s="100"/>
      <c r="C57" s="100" t="s">
        <v>467</v>
      </c>
    </row>
    <row r="60" spans="1:14">
      <c r="A60" s="100"/>
      <c r="B60" s="289" t="str">
        <f>"* Include overpayments applied as part of "&amp;TEXT('KEY INPUTS'!D34,"0")&amp;" collections."</f>
        <v>* Include overpayments applied as part of 2019 collections.</v>
      </c>
      <c r="C60" s="100"/>
    </row>
    <row r="61" spans="1:14">
      <c r="A61" s="100"/>
      <c r="B61" s="100" t="s">
        <v>468</v>
      </c>
      <c r="C61" s="100"/>
      <c r="D61" s="100"/>
      <c r="E61" s="100"/>
    </row>
    <row r="62" spans="1:14">
      <c r="B62" s="100"/>
      <c r="C62" s="100"/>
      <c r="D62" s="100" t="s">
        <v>73</v>
      </c>
      <c r="E62" s="100"/>
    </row>
    <row r="63" spans="1:14" ht="13.8">
      <c r="B63" s="1507" t="s">
        <v>293</v>
      </c>
      <c r="C63" s="1507"/>
      <c r="D63" s="1507"/>
      <c r="E63" s="1507"/>
      <c r="F63" s="1507"/>
      <c r="G63" s="1507"/>
      <c r="H63" s="1507"/>
      <c r="I63" s="1507"/>
      <c r="J63" s="1507"/>
      <c r="K63" s="1507"/>
      <c r="L63" s="1507"/>
      <c r="M63" s="1507"/>
      <c r="N63" s="1507"/>
    </row>
  </sheetData>
  <sheetProtection algorithmName="SHA-512" hashValue="vuTJWYfpRRZ0n7QEfsXiv+WT0dcHX40VmTIouq8eP/5FlUU7Af9TU8a26bL8u7OzIr6bvlmfVrGfVtcy1/rBdQ==" saltValue="PSQb5jYB3j60kW09kll8Qw=="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800100</xdr:colOff>
                    <xdr:row>39</xdr:row>
                    <xdr:rowOff>106680</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1"/>
  <dimension ref="B4:U61"/>
  <sheetViews>
    <sheetView topLeftCell="A13" workbookViewId="0">
      <selection activeCell="K16" sqref="K16"/>
    </sheetView>
  </sheetViews>
  <sheetFormatPr defaultRowHeight="13.2"/>
  <cols>
    <col min="1" max="1" width="4.6640625" customWidth="1"/>
    <col min="10" max="10" width="1.6640625" customWidth="1"/>
    <col min="11" max="11" width="16.6640625" customWidth="1"/>
  </cols>
  <sheetData>
    <row r="4" spans="2:21" ht="17.399999999999999">
      <c r="B4" s="1559" t="s">
        <v>727</v>
      </c>
      <c r="C4" s="1559"/>
      <c r="D4" s="1559"/>
      <c r="E4" s="1559"/>
      <c r="F4" s="1559"/>
      <c r="G4" s="1559"/>
      <c r="H4" s="1559"/>
      <c r="I4" s="1559"/>
      <c r="J4" s="1559"/>
      <c r="K4" s="1559"/>
    </row>
    <row r="6" spans="2:21" ht="15.6">
      <c r="B6" s="1509" t="str">
        <f xml:space="preserve"> "To Calculate Underlying Tax Collection Rate for "&amp;TEXT('KEY INPUTS'!D34,"0")</f>
        <v>To Calculate Underlying Tax Collection Rate for 2019</v>
      </c>
      <c r="C6" s="1509"/>
      <c r="D6" s="1509"/>
      <c r="E6" s="1509"/>
      <c r="F6" s="1509"/>
      <c r="G6" s="1509"/>
      <c r="H6" s="1509"/>
      <c r="I6" s="1509"/>
      <c r="J6" s="1509"/>
      <c r="K6" s="1509"/>
    </row>
    <row r="8" spans="2:21">
      <c r="B8" s="1545" t="s">
        <v>842</v>
      </c>
      <c r="C8" s="1545"/>
      <c r="D8" s="1545"/>
      <c r="E8" s="1545"/>
      <c r="F8" s="1545"/>
      <c r="G8" s="1545"/>
      <c r="H8" s="1545"/>
      <c r="I8" s="1545"/>
      <c r="J8" s="1545"/>
      <c r="K8" s="1545"/>
    </row>
    <row r="9" spans="2:21">
      <c r="B9" s="1545" t="s">
        <v>396</v>
      </c>
      <c r="C9" s="1545"/>
      <c r="D9" s="1545"/>
      <c r="E9" s="1545"/>
      <c r="F9" s="1545"/>
      <c r="G9" s="1545"/>
      <c r="H9" s="1545"/>
      <c r="I9" s="1545"/>
      <c r="J9" s="1545"/>
      <c r="K9" s="1545"/>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3.8">
      <c r="B13" s="92" t="s">
        <v>843</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 customHeight="1">
      <c r="B16" s="93" t="s">
        <v>844</v>
      </c>
      <c r="J16" t="s">
        <v>482</v>
      </c>
      <c r="K16" s="851">
        <f>+'22-2019 Levy'!L32</f>
        <v>119274467.38000001</v>
      </c>
      <c r="N16" s="322"/>
      <c r="O16" s="322"/>
      <c r="P16" s="322"/>
      <c r="Q16" s="322"/>
      <c r="R16" s="322"/>
      <c r="S16" s="322"/>
      <c r="T16" s="322"/>
      <c r="U16" s="322"/>
    </row>
    <row r="17" spans="2:21" ht="27.9" customHeight="1">
      <c r="B17" s="94" t="s">
        <v>845</v>
      </c>
      <c r="K17" s="578"/>
      <c r="N17" s="322"/>
      <c r="O17" s="322"/>
      <c r="P17" s="322"/>
      <c r="Q17" s="322"/>
      <c r="R17" s="322"/>
      <c r="S17" s="322"/>
      <c r="T17" s="322"/>
      <c r="U17" s="322"/>
    </row>
    <row r="18" spans="2:21" ht="27.9" customHeight="1">
      <c r="D18" s="92" t="s">
        <v>206</v>
      </c>
      <c r="J18" t="s">
        <v>482</v>
      </c>
      <c r="K18" s="982">
        <f>K16-K17</f>
        <v>119274467.38000001</v>
      </c>
      <c r="N18" s="322"/>
      <c r="O18" s="322"/>
      <c r="P18" s="322"/>
      <c r="Q18" s="322"/>
      <c r="R18" s="322"/>
      <c r="S18" s="322"/>
      <c r="T18" s="322"/>
      <c r="U18" s="322"/>
    </row>
    <row r="19" spans="2:21" ht="27.75" customHeight="1">
      <c r="B19" s="288" t="str">
        <f>"Line 5c (sheet 22) Total "&amp;TEXT('KEY INPUTS'!D34,"0")&amp;" Tax Levy"</f>
        <v>Line 5c (sheet 22) Total 2019 Tax Levy</v>
      </c>
      <c r="J19" t="s">
        <v>482</v>
      </c>
      <c r="K19" s="664">
        <f>+'22-2019 Levy'!N19</f>
        <v>120328752.48</v>
      </c>
      <c r="N19" s="322"/>
      <c r="O19" s="322"/>
      <c r="P19" s="322"/>
      <c r="Q19" s="322"/>
      <c r="R19" s="322"/>
      <c r="S19" s="322"/>
      <c r="T19" s="322"/>
      <c r="U19" s="322"/>
    </row>
    <row r="20" spans="2:21">
      <c r="N20" s="322"/>
      <c r="O20" s="322"/>
      <c r="P20" s="322"/>
      <c r="Q20" s="322"/>
      <c r="R20" s="322"/>
      <c r="S20" s="322"/>
      <c r="T20" s="322"/>
      <c r="U20" s="322"/>
    </row>
    <row r="21" spans="2:21" ht="13.8">
      <c r="B21" s="93" t="s">
        <v>846</v>
      </c>
      <c r="N21" s="322"/>
      <c r="O21" s="322"/>
      <c r="P21" s="322"/>
      <c r="Q21" s="322"/>
      <c r="R21" s="322"/>
      <c r="S21" s="322"/>
      <c r="T21" s="322"/>
      <c r="U21" s="322"/>
    </row>
    <row r="22" spans="2:21" ht="13.8">
      <c r="B22" s="93" t="s">
        <v>847</v>
      </c>
      <c r="K22" s="772">
        <f>+K18/K19</f>
        <v>0.99123829443694078</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3.8">
      <c r="B34" s="92" t="s">
        <v>849</v>
      </c>
    </row>
    <row r="36" spans="2:11">
      <c r="K36" s="286"/>
    </row>
    <row r="37" spans="2:11" ht="27.9" customHeight="1">
      <c r="B37" s="93" t="s">
        <v>844</v>
      </c>
      <c r="J37" t="s">
        <v>482</v>
      </c>
      <c r="K37" s="773">
        <f>+'22-2019 Levy'!L32</f>
        <v>119274467.38000001</v>
      </c>
    </row>
    <row r="38" spans="2:11" ht="27.9" customHeight="1">
      <c r="B38" s="94" t="s">
        <v>850</v>
      </c>
      <c r="K38" s="578"/>
    </row>
    <row r="39" spans="2:11" ht="27.9" customHeight="1">
      <c r="D39" s="92" t="s">
        <v>206</v>
      </c>
      <c r="J39" t="s">
        <v>482</v>
      </c>
      <c r="K39" s="982">
        <f>K37-K38</f>
        <v>119274467.38000001</v>
      </c>
    </row>
    <row r="40" spans="2:11" ht="27.9" customHeight="1">
      <c r="B40" s="93" t="str">
        <f>B19</f>
        <v>Line 5c (sheet 22) Total 2019 Tax Levy</v>
      </c>
      <c r="J40" t="s">
        <v>482</v>
      </c>
      <c r="K40" s="664">
        <f>+'22-2019 Levy'!N19</f>
        <v>120328752.48</v>
      </c>
    </row>
    <row r="41" spans="2:11" ht="13.8">
      <c r="B41" s="93"/>
    </row>
    <row r="42" spans="2:11" ht="13.8">
      <c r="B42" s="93" t="s">
        <v>5</v>
      </c>
    </row>
    <row r="43" spans="2:11" ht="13.8">
      <c r="B43" s="93" t="s">
        <v>847</v>
      </c>
      <c r="K43" s="772">
        <f>IFERROR(K39/K40,"NO ENTRY")</f>
        <v>0.99123829443694078</v>
      </c>
    </row>
    <row r="61" spans="2:11" ht="13.8">
      <c r="B61" s="1507" t="s">
        <v>848</v>
      </c>
      <c r="C61" s="1507"/>
      <c r="D61" s="1507"/>
      <c r="E61" s="1507"/>
      <c r="F61" s="1507"/>
      <c r="G61" s="1507"/>
      <c r="H61" s="1507"/>
      <c r="I61" s="1507"/>
      <c r="J61" s="1507"/>
      <c r="K61" s="1507"/>
    </row>
  </sheetData>
  <sheetProtection algorithmName="SHA-512" hashValue="ypp42D/aH2afD7CDFrlJb2cmxn74MlrAaZv6HovBbW1EGmG1BIVXPFW1tTQ9h54cPErKN24EYHxx1QA9EGuNDw==" saltValue="UsFHFsgo0MMDQWDisl7+iA=="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2"/>
  <dimension ref="B3:R54"/>
  <sheetViews>
    <sheetView topLeftCell="A4" workbookViewId="0">
      <selection activeCell="I22" sqref="I22"/>
    </sheetView>
  </sheetViews>
  <sheetFormatPr defaultRowHeight="13.2"/>
  <cols>
    <col min="1" max="1" width="3.6640625" customWidth="1"/>
    <col min="2" max="4" width="4.6640625" customWidth="1"/>
    <col min="7" max="7" width="21.6640625" customWidth="1"/>
    <col min="9" max="10" width="16.6640625" customWidth="1"/>
    <col min="11" max="11" width="10.88671875" bestFit="1" customWidth="1"/>
  </cols>
  <sheetData>
    <row r="3" spans="2:18" ht="21">
      <c r="B3" s="1508" t="s">
        <v>6</v>
      </c>
      <c r="C3" s="1508"/>
      <c r="D3" s="1508"/>
      <c r="E3" s="1508"/>
      <c r="F3" s="1508"/>
      <c r="G3" s="1508"/>
      <c r="H3" s="1508"/>
      <c r="I3" s="1508"/>
      <c r="J3" s="1508"/>
      <c r="K3" s="710"/>
    </row>
    <row r="4" spans="2:18" ht="21">
      <c r="B4" s="1508" t="s">
        <v>7</v>
      </c>
      <c r="C4" s="1508"/>
      <c r="D4" s="1508"/>
      <c r="E4" s="1508"/>
      <c r="F4" s="1508"/>
      <c r="G4" s="1508"/>
      <c r="H4" s="1508"/>
      <c r="I4" s="1508"/>
      <c r="J4" s="1508"/>
      <c r="K4" s="710"/>
    </row>
    <row r="5" spans="2:18" ht="13.8"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788</v>
      </c>
      <c r="J7" s="198" t="s">
        <v>788</v>
      </c>
    </row>
    <row r="8" spans="2:18" ht="21" customHeight="1">
      <c r="B8" s="87"/>
      <c r="C8" s="323"/>
      <c r="D8" s="323" t="s">
        <v>352</v>
      </c>
      <c r="E8" s="323"/>
      <c r="F8" s="323"/>
      <c r="G8" s="323"/>
      <c r="H8" s="24"/>
      <c r="I8" s="374"/>
      <c r="J8" s="1000" t="s">
        <v>788</v>
      </c>
      <c r="K8" s="312"/>
    </row>
    <row r="9" spans="2:18" ht="21" customHeight="1">
      <c r="B9" s="87"/>
      <c r="C9" s="323"/>
      <c r="D9" s="323" t="s">
        <v>353</v>
      </c>
      <c r="E9" s="323"/>
      <c r="F9" s="323"/>
      <c r="G9" s="323"/>
      <c r="H9" s="24"/>
      <c r="I9" s="146" t="s">
        <v>788</v>
      </c>
      <c r="J9" s="582">
        <v>88215.09</v>
      </c>
    </row>
    <row r="10" spans="2:18" ht="21" customHeight="1">
      <c r="B10" s="87" t="s">
        <v>385</v>
      </c>
      <c r="C10" s="323" t="s">
        <v>899</v>
      </c>
      <c r="D10" s="323"/>
      <c r="E10" s="323"/>
      <c r="F10" s="323"/>
      <c r="G10" s="323"/>
      <c r="H10" s="24"/>
      <c r="I10" s="374">
        <v>65750</v>
      </c>
      <c r="J10" s="1000" t="s">
        <v>788</v>
      </c>
      <c r="L10" s="322"/>
      <c r="M10" s="322"/>
      <c r="N10" s="322"/>
      <c r="O10" s="322"/>
      <c r="P10" s="322"/>
      <c r="Q10" s="322"/>
      <c r="R10" s="322"/>
    </row>
    <row r="11" spans="2:18" ht="21" customHeight="1">
      <c r="B11" s="87" t="s">
        <v>386</v>
      </c>
      <c r="C11" s="323" t="s">
        <v>900</v>
      </c>
      <c r="D11" s="323"/>
      <c r="E11" s="323"/>
      <c r="F11" s="323"/>
      <c r="G11" s="323"/>
      <c r="H11" s="24"/>
      <c r="I11" s="374">
        <f>8000+145250+77250</f>
        <v>230500</v>
      </c>
      <c r="J11" s="1000" t="s">
        <v>788</v>
      </c>
      <c r="K11" s="312"/>
      <c r="L11" s="377"/>
      <c r="M11" s="322"/>
      <c r="N11" s="322"/>
      <c r="O11" s="322"/>
      <c r="P11" s="322"/>
      <c r="Q11" s="322"/>
      <c r="R11" s="322"/>
    </row>
    <row r="12" spans="2:18" ht="21" customHeight="1">
      <c r="B12" s="87" t="s">
        <v>387</v>
      </c>
      <c r="C12" s="326" t="s">
        <v>3681</v>
      </c>
      <c r="D12" s="323"/>
      <c r="E12" s="323"/>
      <c r="F12" s="323"/>
      <c r="G12" s="323"/>
      <c r="H12" s="24"/>
      <c r="I12" s="374">
        <v>16297.37</v>
      </c>
      <c r="J12" s="1000" t="s">
        <v>788</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v>37656.620000000003</v>
      </c>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3683</v>
      </c>
      <c r="D15" s="5"/>
      <c r="E15" s="5"/>
      <c r="F15" s="5"/>
      <c r="G15" s="5"/>
      <c r="H15" s="24"/>
      <c r="I15" s="310" t="s">
        <v>788</v>
      </c>
      <c r="J15" s="582">
        <v>2582.87</v>
      </c>
      <c r="L15" s="322"/>
      <c r="M15" s="322"/>
      <c r="N15" s="322"/>
      <c r="O15" s="322"/>
      <c r="P15" s="322"/>
      <c r="Q15" s="322"/>
      <c r="R15" s="322"/>
    </row>
    <row r="16" spans="2:18" ht="21" customHeight="1">
      <c r="B16" s="87" t="s">
        <v>501</v>
      </c>
      <c r="C16" s="303" t="s">
        <v>3682</v>
      </c>
      <c r="D16" s="5"/>
      <c r="E16" s="5"/>
      <c r="F16" s="5"/>
      <c r="G16" s="5"/>
      <c r="H16" s="24"/>
      <c r="I16" s="146" t="s">
        <v>788</v>
      </c>
      <c r="J16" s="582">
        <v>10604.8</v>
      </c>
      <c r="L16" s="322"/>
      <c r="M16" s="322"/>
      <c r="N16" s="322"/>
      <c r="O16" s="322"/>
      <c r="P16" s="322"/>
      <c r="Q16" s="322"/>
      <c r="R16" s="322"/>
    </row>
    <row r="17" spans="2:18" ht="21" customHeight="1">
      <c r="B17" s="87" t="s">
        <v>502</v>
      </c>
      <c r="C17" s="5" t="s">
        <v>576</v>
      </c>
      <c r="D17" s="5"/>
      <c r="E17" s="5"/>
      <c r="F17" s="5"/>
      <c r="G17" s="5"/>
      <c r="H17" s="24"/>
      <c r="I17" s="146" t="s">
        <v>788</v>
      </c>
      <c r="J17" s="582">
        <v>288134.26</v>
      </c>
      <c r="L17" s="322"/>
      <c r="M17" s="322"/>
      <c r="N17" s="322"/>
      <c r="O17" s="322"/>
      <c r="P17" s="322"/>
      <c r="Q17" s="322"/>
      <c r="R17" s="322"/>
    </row>
    <row r="18" spans="2:18" ht="21" customHeight="1">
      <c r="B18" s="87" t="s">
        <v>503</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3" t="s">
        <v>290</v>
      </c>
      <c r="C20" s="383" t="str">
        <f>'KEY INPUTS'!D26</f>
        <v>Balance - December 31, 2019</v>
      </c>
      <c r="D20" s="383"/>
      <c r="E20" s="383"/>
      <c r="F20" s="383"/>
      <c r="G20" s="383"/>
      <c r="H20" s="384"/>
      <c r="I20" s="975" t="s">
        <v>788</v>
      </c>
      <c r="J20" s="984" t="s">
        <v>788</v>
      </c>
      <c r="K20" s="713">
        <f>SUM(I7:I20)-SUM(J7:J20)</f>
        <v>-39333.030000000028</v>
      </c>
      <c r="L20" s="711" t="s">
        <v>3647</v>
      </c>
      <c r="M20" s="322"/>
      <c r="N20" s="322"/>
      <c r="O20" s="322"/>
      <c r="P20" s="322"/>
      <c r="Q20" s="322"/>
      <c r="R20" s="322"/>
    </row>
    <row r="21" spans="2:18" ht="21" customHeight="1">
      <c r="B21" s="983"/>
      <c r="C21" s="383"/>
      <c r="D21" s="383" t="s">
        <v>352</v>
      </c>
      <c r="E21" s="383"/>
      <c r="F21" s="383"/>
      <c r="G21" s="383"/>
      <c r="H21" s="384"/>
      <c r="I21" s="975" t="s">
        <v>788</v>
      </c>
      <c r="J21" s="985">
        <f>IF(K20&gt;0,K20,0)</f>
        <v>0</v>
      </c>
      <c r="K21" s="716"/>
      <c r="L21" s="322"/>
      <c r="M21" s="322"/>
      <c r="N21" s="322"/>
      <c r="O21" s="322"/>
      <c r="P21" s="322"/>
      <c r="Q21" s="322"/>
      <c r="R21" s="322"/>
    </row>
    <row r="22" spans="2:18" ht="21" customHeight="1">
      <c r="B22" s="983"/>
      <c r="C22" s="383"/>
      <c r="D22" s="383" t="s">
        <v>353</v>
      </c>
      <c r="E22" s="383"/>
      <c r="F22" s="383"/>
      <c r="G22" s="383"/>
      <c r="H22" s="384"/>
      <c r="I22" s="977">
        <f>IF(K20&gt;0,0,K20)*-1</f>
        <v>39333.030000000028</v>
      </c>
      <c r="J22" s="984" t="s">
        <v>788</v>
      </c>
      <c r="K22" s="385"/>
      <c r="L22" s="322"/>
      <c r="M22" s="322"/>
      <c r="N22" s="322"/>
      <c r="O22" s="322"/>
      <c r="P22" s="322"/>
      <c r="Q22" s="322"/>
      <c r="R22" s="322"/>
    </row>
    <row r="23" spans="2:18" ht="21" customHeight="1" thickBot="1">
      <c r="B23" s="986"/>
      <c r="C23" s="855"/>
      <c r="D23" s="855"/>
      <c r="E23" s="855"/>
      <c r="F23" s="855"/>
      <c r="G23" s="855"/>
      <c r="H23" s="855"/>
      <c r="I23" s="863">
        <f>SUM(I7:I22)</f>
        <v>389537.02</v>
      </c>
      <c r="J23" s="987">
        <f>SUM(J7:J22)</f>
        <v>389537.02</v>
      </c>
      <c r="L23" s="322"/>
      <c r="M23" s="322"/>
      <c r="N23" s="322"/>
      <c r="O23" s="322"/>
      <c r="P23" s="322"/>
      <c r="Q23" s="322"/>
      <c r="R23" s="322"/>
    </row>
    <row r="24" spans="2:18" ht="13.8"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65750</v>
      </c>
    </row>
    <row r="33" spans="2:7" ht="21" customHeight="1">
      <c r="B33" s="97" t="s">
        <v>11</v>
      </c>
      <c r="G33" s="69">
        <f>+I11</f>
        <v>230500</v>
      </c>
    </row>
    <row r="34" spans="2:7" ht="21" customHeight="1" thickBot="1">
      <c r="B34" s="98" t="s">
        <v>12</v>
      </c>
      <c r="G34" s="213">
        <f>+I12</f>
        <v>16297.37</v>
      </c>
    </row>
    <row r="35" spans="2:7" ht="21" customHeight="1">
      <c r="B35" s="98" t="s">
        <v>13</v>
      </c>
      <c r="G35" s="67">
        <f>SUM(G32:G34)</f>
        <v>312547.37</v>
      </c>
    </row>
    <row r="36" spans="2:7" ht="21" customHeight="1" thickBot="1">
      <c r="B36" s="98" t="s">
        <v>14</v>
      </c>
      <c r="G36" s="213">
        <f>+J15</f>
        <v>2582.87</v>
      </c>
    </row>
    <row r="37" spans="2:7" ht="21" customHeight="1" thickBot="1">
      <c r="B37" s="98" t="s">
        <v>15</v>
      </c>
      <c r="G37" s="84">
        <f>+G35-G36</f>
        <v>309964.5</v>
      </c>
    </row>
    <row r="38" spans="2:7" ht="13.8" thickTop="1"/>
    <row r="54" spans="2:10" ht="13.8">
      <c r="B54" s="1507" t="s">
        <v>9</v>
      </c>
      <c r="C54" s="1507"/>
      <c r="D54" s="1507"/>
      <c r="E54" s="1507"/>
      <c r="F54" s="1507"/>
      <c r="G54" s="1507"/>
      <c r="H54" s="1507"/>
      <c r="I54" s="1507"/>
      <c r="J54" s="1507"/>
    </row>
  </sheetData>
  <sheetProtection password="CAF9"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3"/>
  <dimension ref="B3:S60"/>
  <sheetViews>
    <sheetView workbookViewId="0">
      <selection activeCell="I14" sqref="I14"/>
    </sheetView>
  </sheetViews>
  <sheetFormatPr defaultRowHeight="13.2"/>
  <cols>
    <col min="1" max="1" width="3.6640625" customWidth="1"/>
    <col min="2" max="4" width="4.6640625" customWidth="1"/>
    <col min="5" max="5" width="5.6640625" customWidth="1"/>
    <col min="7" max="7" width="15.88671875" customWidth="1"/>
    <col min="8" max="8" width="14.6640625" customWidth="1"/>
    <col min="9" max="10" width="16.6640625" customWidth="1"/>
  </cols>
  <sheetData>
    <row r="3" spans="2:19" ht="20.399999999999999">
      <c r="B3" s="1508" t="s">
        <v>21</v>
      </c>
      <c r="C3" s="1508"/>
      <c r="D3" s="1508"/>
      <c r="E3" s="1508"/>
      <c r="F3" s="1508"/>
      <c r="G3" s="1508"/>
      <c r="H3" s="1508"/>
      <c r="I3" s="1508"/>
      <c r="J3" s="1508"/>
    </row>
    <row r="4" spans="2:19" ht="20.399999999999999">
      <c r="B4" s="1508" t="s">
        <v>20</v>
      </c>
      <c r="C4" s="1508"/>
      <c r="D4" s="1508"/>
      <c r="E4" s="1508"/>
      <c r="F4" s="1508"/>
      <c r="G4" s="1508"/>
      <c r="H4" s="1508"/>
      <c r="I4" s="1508"/>
      <c r="J4" s="1508"/>
    </row>
    <row r="5" spans="2:19" ht="13.8" thickBot="1"/>
    <row r="6" spans="2:19" ht="27.9" customHeight="1" thickTop="1" thickBot="1">
      <c r="B6" s="1046"/>
      <c r="C6" s="1046"/>
      <c r="D6" s="1046"/>
      <c r="E6" s="1046"/>
      <c r="F6" s="1046"/>
      <c r="G6" s="1046"/>
      <c r="H6" s="1046"/>
      <c r="I6" s="969" t="s">
        <v>125</v>
      </c>
      <c r="J6" s="1044" t="s">
        <v>126</v>
      </c>
    </row>
    <row r="7" spans="2:19" ht="21" customHeight="1" thickTop="1">
      <c r="B7" s="381" t="str">
        <f>'KEY INPUTS'!D25</f>
        <v>Balance - January 1, 2019</v>
      </c>
      <c r="C7" s="381"/>
      <c r="D7" s="381"/>
      <c r="E7" s="381"/>
      <c r="F7" s="381"/>
      <c r="G7" s="381"/>
      <c r="H7" s="382"/>
      <c r="I7" s="1045" t="s">
        <v>858</v>
      </c>
      <c r="J7" s="1047">
        <f>H8+H9</f>
        <v>1009253.65</v>
      </c>
    </row>
    <row r="8" spans="2:19" ht="21" customHeight="1">
      <c r="B8" s="383"/>
      <c r="C8" s="383" t="s">
        <v>579</v>
      </c>
      <c r="D8" s="383"/>
      <c r="E8" s="383"/>
      <c r="F8" s="383"/>
      <c r="G8" s="383"/>
      <c r="H8" s="374">
        <v>1009253.65</v>
      </c>
      <c r="I8" s="1040" t="s">
        <v>858</v>
      </c>
      <c r="J8" s="1039" t="s">
        <v>788</v>
      </c>
    </row>
    <row r="9" spans="2:19" ht="21" customHeight="1">
      <c r="B9" s="383"/>
      <c r="C9" s="383" t="s">
        <v>580</v>
      </c>
      <c r="D9" s="383"/>
      <c r="E9" s="383"/>
      <c r="F9" s="383"/>
      <c r="G9" s="383"/>
      <c r="H9" s="374"/>
      <c r="I9" s="1040" t="s">
        <v>858</v>
      </c>
      <c r="J9" s="1039" t="s">
        <v>788</v>
      </c>
      <c r="M9" s="322"/>
      <c r="N9" s="322"/>
      <c r="O9" s="322"/>
      <c r="P9" s="322"/>
      <c r="Q9" s="322"/>
      <c r="R9" s="322"/>
      <c r="S9" s="322"/>
    </row>
    <row r="10" spans="2:19" ht="24.75" customHeight="1">
      <c r="B10" s="1633" t="str">
        <f>"Contested Amount of "&amp;TEXT('KEY INPUTS'!D34,"0")&amp;" Taxes Collected which are Pending State Appeal (Item 14, Sheet 22)"</f>
        <v>Contested Amount of 2019 Taxes Collected which are Pending State Appeal (Item 14, Sheet 22)</v>
      </c>
      <c r="C10" s="1633"/>
      <c r="D10" s="1633"/>
      <c r="E10" s="1633"/>
      <c r="F10" s="1633"/>
      <c r="G10" s="1633"/>
      <c r="H10" s="384"/>
      <c r="I10" s="1040" t="s">
        <v>858</v>
      </c>
      <c r="J10" s="582"/>
      <c r="M10" s="322"/>
      <c r="N10" s="322"/>
      <c r="O10" s="322"/>
      <c r="P10" s="322"/>
      <c r="Q10" s="322"/>
      <c r="R10" s="322"/>
      <c r="S10" s="322"/>
    </row>
    <row r="11" spans="2:19" ht="21" customHeight="1">
      <c r="B11" s="383" t="s">
        <v>581</v>
      </c>
      <c r="C11" s="383"/>
      <c r="D11" s="383"/>
      <c r="E11" s="383"/>
      <c r="F11" s="383"/>
      <c r="G11" s="383"/>
      <c r="H11" s="384"/>
      <c r="I11" s="1040" t="s">
        <v>858</v>
      </c>
      <c r="J11" s="582"/>
      <c r="M11" s="377"/>
      <c r="N11" s="322"/>
      <c r="O11" s="322"/>
      <c r="P11" s="322"/>
      <c r="Q11" s="322"/>
      <c r="R11" s="322"/>
      <c r="S11" s="322"/>
    </row>
    <row r="12" spans="2:19" ht="21" customHeight="1">
      <c r="B12" s="566" t="s">
        <v>4019</v>
      </c>
      <c r="C12" s="566"/>
      <c r="D12" s="566"/>
      <c r="E12" s="566"/>
      <c r="F12" s="566"/>
      <c r="G12" s="566"/>
      <c r="H12" s="572"/>
      <c r="I12" s="374"/>
      <c r="J12" s="582">
        <v>10000</v>
      </c>
      <c r="M12" s="322"/>
      <c r="N12" s="322"/>
      <c r="O12" s="322"/>
      <c r="P12" s="322"/>
      <c r="Q12" s="322"/>
      <c r="R12" s="322"/>
      <c r="S12" s="322"/>
    </row>
    <row r="13" spans="2:19" ht="21" customHeight="1">
      <c r="B13" s="5" t="s">
        <v>102</v>
      </c>
      <c r="C13" s="5"/>
      <c r="D13" s="5"/>
      <c r="E13" s="5"/>
      <c r="F13" s="5"/>
      <c r="G13" s="5"/>
      <c r="H13" s="24"/>
      <c r="I13" s="374">
        <v>993185.9</v>
      </c>
      <c r="J13" s="1039" t="s">
        <v>788</v>
      </c>
      <c r="M13" s="322"/>
      <c r="N13" s="322"/>
      <c r="O13" s="322"/>
      <c r="P13" s="322"/>
      <c r="Q13" s="322"/>
      <c r="R13" s="322"/>
      <c r="S13" s="322"/>
    </row>
    <row r="14" spans="2:19" ht="11.25" customHeight="1">
      <c r="B14" s="7" t="s">
        <v>582</v>
      </c>
      <c r="C14" s="7"/>
      <c r="D14" s="7"/>
      <c r="E14" s="7"/>
      <c r="F14" s="7"/>
      <c r="G14" s="7"/>
      <c r="H14" s="83"/>
      <c r="I14" s="1043"/>
      <c r="J14" s="1041"/>
      <c r="M14" s="322"/>
      <c r="N14" s="322"/>
      <c r="O14" s="322"/>
      <c r="P14" s="322"/>
      <c r="Q14" s="322"/>
      <c r="R14" s="322"/>
      <c r="S14" s="322"/>
    </row>
    <row r="15" spans="2:19" ht="12.75" customHeight="1">
      <c r="B15" s="30" t="s">
        <v>583</v>
      </c>
      <c r="C15" s="30"/>
      <c r="D15" s="30"/>
      <c r="E15" s="30"/>
      <c r="F15" s="30"/>
      <c r="G15" s="30"/>
      <c r="H15" s="102"/>
      <c r="I15" s="374"/>
      <c r="J15" s="1042" t="s">
        <v>788</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7">
        <f>H18+H19</f>
        <v>26067.75</v>
      </c>
      <c r="J17" s="1039" t="s">
        <v>788</v>
      </c>
      <c r="M17" s="322"/>
      <c r="N17" s="322"/>
      <c r="O17" s="322"/>
      <c r="P17" s="322"/>
      <c r="Q17" s="322"/>
      <c r="R17" s="322"/>
      <c r="S17" s="322"/>
    </row>
    <row r="18" spans="2:19" ht="21" customHeight="1">
      <c r="B18" s="383"/>
      <c r="C18" s="383" t="s">
        <v>584</v>
      </c>
      <c r="D18" s="383"/>
      <c r="E18" s="383"/>
      <c r="F18" s="383"/>
      <c r="G18" s="383"/>
      <c r="H18" s="374">
        <f>H8+J12-I13</f>
        <v>26067.75</v>
      </c>
      <c r="I18" s="1040" t="s">
        <v>788</v>
      </c>
      <c r="J18" s="1039" t="s">
        <v>788</v>
      </c>
      <c r="M18" s="322"/>
      <c r="N18" s="322"/>
      <c r="O18" s="322"/>
      <c r="P18" s="322"/>
      <c r="Q18" s="322"/>
      <c r="R18" s="322"/>
      <c r="S18" s="322"/>
    </row>
    <row r="19" spans="2:19" ht="21" customHeight="1">
      <c r="B19" s="383"/>
      <c r="C19" s="383" t="s">
        <v>580</v>
      </c>
      <c r="D19" s="383"/>
      <c r="E19" s="383"/>
      <c r="F19" s="383"/>
      <c r="G19" s="383"/>
      <c r="H19" s="374"/>
      <c r="I19" s="1040" t="s">
        <v>788</v>
      </c>
      <c r="J19" s="1039" t="s">
        <v>788</v>
      </c>
      <c r="M19" s="322"/>
      <c r="N19" s="322"/>
      <c r="O19" s="322"/>
      <c r="P19" s="322"/>
      <c r="Q19" s="322"/>
      <c r="R19" s="322"/>
      <c r="S19" s="322"/>
    </row>
    <row r="20" spans="2:19" ht="21" customHeight="1" thickBot="1">
      <c r="B20" t="s">
        <v>585</v>
      </c>
      <c r="I20" s="863">
        <f>SUM(I7:I19)</f>
        <v>1019253.65</v>
      </c>
      <c r="J20" s="987">
        <f>SUM(J7:J19)</f>
        <v>1019253.65</v>
      </c>
      <c r="M20" s="322"/>
      <c r="N20" s="322"/>
      <c r="O20" s="322"/>
      <c r="P20" s="322"/>
      <c r="Q20" s="322"/>
      <c r="R20" s="322"/>
      <c r="S20" s="322"/>
    </row>
    <row r="21" spans="2:19" ht="13.8"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33"/>
      <c r="D25" s="1533"/>
      <c r="E25" s="1533"/>
      <c r="F25" s="1533"/>
      <c r="G25" s="1533"/>
    </row>
    <row r="26" spans="2:19">
      <c r="C26" s="1546" t="s">
        <v>16</v>
      </c>
      <c r="D26" s="1546"/>
      <c r="E26" s="1546"/>
      <c r="F26" s="1546"/>
      <c r="G26" s="1546"/>
    </row>
    <row r="29" spans="2:19">
      <c r="C29" s="1533"/>
      <c r="D29" s="1533"/>
      <c r="E29" s="1533"/>
      <c r="G29" s="375"/>
    </row>
    <row r="30" spans="2:19">
      <c r="C30" s="1546" t="s">
        <v>17</v>
      </c>
      <c r="D30" s="1546"/>
      <c r="E30" s="1546"/>
      <c r="G30" s="1" t="s">
        <v>18</v>
      </c>
    </row>
    <row r="60" spans="2:10" ht="13.8">
      <c r="B60" s="1507" t="s">
        <v>19</v>
      </c>
      <c r="C60" s="1507"/>
      <c r="D60" s="1507"/>
      <c r="E60" s="1507"/>
      <c r="F60" s="1507"/>
      <c r="G60" s="1507"/>
      <c r="H60" s="1507"/>
      <c r="I60" s="1507"/>
      <c r="J60" s="1507"/>
    </row>
  </sheetData>
  <sheetProtection password="CAF9"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4"/>
  <dimension ref="B2:S80"/>
  <sheetViews>
    <sheetView topLeftCell="A16" zoomScaleNormal="100" workbookViewId="0">
      <selection activeCell="I29" sqref="I29"/>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8" width="11.6640625" customWidth="1"/>
    <col min="9" max="9" width="14.6640625" customWidth="1"/>
    <col min="10" max="10" width="2.6640625" customWidth="1"/>
    <col min="11" max="11" width="14.6640625" customWidth="1"/>
    <col min="12" max="12" width="2.6640625" customWidth="1"/>
    <col min="13" max="13" width="14.6640625" customWidth="1"/>
    <col min="14" max="14" width="13.5546875" bestFit="1" customWidth="1"/>
    <col min="15" max="15" width="11.44140625" bestFit="1" customWidth="1"/>
    <col min="19" max="19" width="9.33203125" bestFit="1" customWidth="1"/>
  </cols>
  <sheetData>
    <row r="2" spans="2:15" ht="20.399999999999999">
      <c r="B2" s="1508" t="s">
        <v>66</v>
      </c>
      <c r="C2" s="1508"/>
      <c r="D2" s="1508"/>
      <c r="E2" s="1508"/>
      <c r="F2" s="1508"/>
      <c r="G2" s="1508"/>
      <c r="H2" s="1508"/>
      <c r="I2" s="1508"/>
      <c r="J2" s="1508"/>
      <c r="K2" s="1508"/>
      <c r="L2" s="1508"/>
      <c r="M2" s="1508"/>
      <c r="N2" s="711"/>
    </row>
    <row r="3" spans="2:15" ht="13.8" thickBot="1"/>
    <row r="4" spans="2:15" ht="33.9" customHeight="1" thickTop="1" thickBot="1">
      <c r="B4" s="61"/>
      <c r="C4" s="61"/>
      <c r="D4" s="61"/>
      <c r="E4" s="61"/>
      <c r="F4" s="61"/>
      <c r="G4" s="61"/>
      <c r="H4" s="61"/>
      <c r="I4" s="61"/>
      <c r="J4" s="1634" t="s">
        <v>125</v>
      </c>
      <c r="K4" s="1553"/>
      <c r="L4" s="1634" t="s">
        <v>126</v>
      </c>
      <c r="M4" s="1552"/>
    </row>
    <row r="5" spans="2:15" ht="21.9" customHeight="1" thickTop="1">
      <c r="B5" s="86" t="s">
        <v>384</v>
      </c>
      <c r="C5" s="283" t="str">
        <f>'KEY INPUTS'!D25</f>
        <v>Balance - January 1, 2019</v>
      </c>
      <c r="D5" s="283"/>
      <c r="E5" s="283"/>
      <c r="F5" s="283"/>
      <c r="G5" s="283"/>
      <c r="H5" s="283"/>
      <c r="I5" s="23"/>
      <c r="J5" s="64"/>
      <c r="K5" s="720">
        <f>I6+I7</f>
        <v>1749885.6800000002</v>
      </c>
      <c r="L5" s="64"/>
      <c r="M5" s="126" t="s">
        <v>788</v>
      </c>
      <c r="O5" s="291"/>
    </row>
    <row r="6" spans="2:15" ht="21.9" customHeight="1">
      <c r="B6" s="87"/>
      <c r="C6" s="323"/>
      <c r="D6" s="323" t="s">
        <v>67</v>
      </c>
      <c r="E6" s="323" t="s">
        <v>68</v>
      </c>
      <c r="F6" s="323"/>
      <c r="G6" s="323"/>
      <c r="H6" s="49" t="s">
        <v>71</v>
      </c>
      <c r="I6" s="374">
        <v>1267014.3700000001</v>
      </c>
      <c r="J6" s="69"/>
      <c r="K6" s="1001" t="s">
        <v>788</v>
      </c>
      <c r="L6" s="69"/>
      <c r="M6" s="127" t="s">
        <v>788</v>
      </c>
      <c r="N6" s="228"/>
    </row>
    <row r="7" spans="2:15" ht="21.9" customHeight="1">
      <c r="B7" s="87"/>
      <c r="C7" s="323"/>
      <c r="D7" s="323" t="s">
        <v>69</v>
      </c>
      <c r="E7" s="323" t="s">
        <v>986</v>
      </c>
      <c r="F7" s="323"/>
      <c r="G7" s="323"/>
      <c r="H7" s="49" t="s">
        <v>54</v>
      </c>
      <c r="I7" s="374">
        <v>482871.31</v>
      </c>
      <c r="J7" s="69"/>
      <c r="K7" s="1001" t="s">
        <v>788</v>
      </c>
      <c r="L7" s="69"/>
      <c r="M7" s="127" t="s">
        <v>788</v>
      </c>
      <c r="N7" s="228"/>
    </row>
    <row r="8" spans="2:15" ht="21.9" customHeight="1">
      <c r="B8" s="87" t="s">
        <v>385</v>
      </c>
      <c r="C8" s="323" t="s">
        <v>70</v>
      </c>
      <c r="D8" s="323"/>
      <c r="E8" s="323"/>
      <c r="F8" s="323"/>
      <c r="G8" s="323"/>
      <c r="H8" s="323"/>
      <c r="I8" s="24"/>
      <c r="J8" s="69"/>
      <c r="K8" s="1001" t="s">
        <v>788</v>
      </c>
      <c r="L8" s="69"/>
      <c r="M8" s="127" t="s">
        <v>788</v>
      </c>
    </row>
    <row r="9" spans="2:15" ht="21.9" customHeight="1">
      <c r="B9" s="87"/>
      <c r="C9" s="323"/>
      <c r="D9" s="323" t="s">
        <v>67</v>
      </c>
      <c r="E9" s="323" t="s">
        <v>68</v>
      </c>
      <c r="F9" s="323"/>
      <c r="G9" s="323"/>
      <c r="H9" s="323"/>
      <c r="I9" s="75" t="s">
        <v>55</v>
      </c>
      <c r="J9" s="69"/>
      <c r="K9" s="1001" t="s">
        <v>788</v>
      </c>
      <c r="L9" s="69"/>
      <c r="M9" s="580">
        <f>37656.62-10604.8</f>
        <v>27051.820000000003</v>
      </c>
    </row>
    <row r="10" spans="2:15" ht="21.9" customHeight="1">
      <c r="B10" s="87"/>
      <c r="C10" s="323"/>
      <c r="D10" s="323" t="s">
        <v>69</v>
      </c>
      <c r="E10" s="323" t="s">
        <v>986</v>
      </c>
      <c r="F10" s="323"/>
      <c r="G10" s="323"/>
      <c r="H10" s="323"/>
      <c r="I10" s="75" t="s">
        <v>56</v>
      </c>
      <c r="J10" s="69"/>
      <c r="K10" s="1001" t="s">
        <v>788</v>
      </c>
      <c r="L10" s="69"/>
      <c r="M10" s="580"/>
    </row>
    <row r="11" spans="2:15" ht="21.9" customHeight="1">
      <c r="B11" s="87" t="s">
        <v>386</v>
      </c>
      <c r="C11" s="323" t="s">
        <v>612</v>
      </c>
      <c r="D11" s="323"/>
      <c r="E11" s="323"/>
      <c r="F11" s="323"/>
      <c r="G11" s="323"/>
      <c r="H11" s="323"/>
      <c r="I11" s="24"/>
      <c r="J11" s="69"/>
      <c r="K11" s="1001" t="s">
        <v>788</v>
      </c>
      <c r="L11" s="69"/>
      <c r="M11" s="127" t="s">
        <v>788</v>
      </c>
    </row>
    <row r="12" spans="2:15" ht="21.9" customHeight="1">
      <c r="B12" s="87"/>
      <c r="C12" s="323"/>
      <c r="D12" s="323" t="s">
        <v>67</v>
      </c>
      <c r="E12" s="323" t="s">
        <v>68</v>
      </c>
      <c r="F12" s="323"/>
      <c r="G12" s="323"/>
      <c r="H12" s="323"/>
      <c r="I12" s="75" t="s">
        <v>613</v>
      </c>
      <c r="J12" s="69"/>
      <c r="K12" s="1001" t="s">
        <v>788</v>
      </c>
      <c r="L12" s="69"/>
      <c r="M12" s="580"/>
    </row>
    <row r="13" spans="2:15" ht="21.9" customHeight="1">
      <c r="B13" s="87"/>
      <c r="C13" s="323"/>
      <c r="D13" s="323" t="s">
        <v>69</v>
      </c>
      <c r="E13" s="323" t="s">
        <v>986</v>
      </c>
      <c r="F13" s="323"/>
      <c r="G13" s="323"/>
      <c r="H13" s="323"/>
      <c r="I13" s="75" t="s">
        <v>614</v>
      </c>
      <c r="J13" s="69"/>
      <c r="K13" s="1001" t="s">
        <v>788</v>
      </c>
      <c r="L13" s="69"/>
      <c r="M13" s="580"/>
    </row>
    <row r="14" spans="2:15" ht="21.9" customHeight="1">
      <c r="B14" s="87" t="s">
        <v>387</v>
      </c>
      <c r="C14" s="323" t="s">
        <v>617</v>
      </c>
      <c r="D14" s="323"/>
      <c r="E14" s="323"/>
      <c r="F14" s="323"/>
      <c r="G14" s="323"/>
      <c r="H14" s="323"/>
      <c r="I14" s="75" t="s">
        <v>615</v>
      </c>
      <c r="J14" s="69"/>
      <c r="K14" s="581">
        <v>40426.720000000001</v>
      </c>
      <c r="L14" s="69"/>
      <c r="M14" s="127" t="s">
        <v>788</v>
      </c>
    </row>
    <row r="15" spans="2:15" ht="21.9" customHeight="1">
      <c r="B15" s="87" t="s">
        <v>388</v>
      </c>
      <c r="C15" s="323" t="s">
        <v>618</v>
      </c>
      <c r="D15" s="323"/>
      <c r="E15" s="323"/>
      <c r="F15" s="323"/>
      <c r="G15" s="323"/>
      <c r="H15" s="323"/>
      <c r="I15" s="75" t="s">
        <v>616</v>
      </c>
      <c r="J15" s="69"/>
      <c r="K15" s="581">
        <v>5434.21</v>
      </c>
      <c r="L15" s="69"/>
      <c r="M15" s="127" t="s">
        <v>788</v>
      </c>
    </row>
    <row r="16" spans="2:15" ht="21.9" customHeight="1">
      <c r="B16" s="87" t="s">
        <v>389</v>
      </c>
      <c r="C16" s="1631" t="s">
        <v>312</v>
      </c>
      <c r="D16" s="1631"/>
      <c r="E16" s="1631"/>
      <c r="F16" s="1631"/>
      <c r="G16" s="1631"/>
      <c r="H16" s="1631"/>
      <c r="I16" s="1635"/>
      <c r="J16" s="69"/>
      <c r="K16" s="1001" t="s">
        <v>788</v>
      </c>
      <c r="L16" s="69"/>
      <c r="M16" s="580"/>
    </row>
    <row r="17" spans="2:19" ht="21.9" customHeight="1">
      <c r="B17" s="87"/>
      <c r="C17" s="323"/>
      <c r="D17" s="323" t="s">
        <v>67</v>
      </c>
      <c r="E17" s="323" t="s">
        <v>619</v>
      </c>
      <c r="F17" s="323"/>
      <c r="G17" s="323"/>
      <c r="H17" s="323"/>
      <c r="I17" s="75" t="s">
        <v>621</v>
      </c>
      <c r="J17" s="69"/>
      <c r="K17" s="1001" t="s">
        <v>788</v>
      </c>
      <c r="L17" s="212" t="s">
        <v>623</v>
      </c>
      <c r="M17" s="580"/>
    </row>
    <row r="18" spans="2:19" ht="21.9" customHeight="1">
      <c r="B18" s="87"/>
      <c r="C18" s="323"/>
      <c r="D18" s="323" t="s">
        <v>69</v>
      </c>
      <c r="E18" s="323" t="s">
        <v>620</v>
      </c>
      <c r="F18" s="323"/>
      <c r="G18" s="323"/>
      <c r="H18" s="323"/>
      <c r="I18" s="75" t="s">
        <v>622</v>
      </c>
      <c r="J18" s="212" t="s">
        <v>623</v>
      </c>
      <c r="K18" s="112">
        <f>+M17</f>
        <v>0</v>
      </c>
      <c r="L18" s="69"/>
      <c r="M18" s="127" t="s">
        <v>788</v>
      </c>
    </row>
    <row r="19" spans="2:19" ht="21.9" customHeight="1" thickBot="1">
      <c r="B19" s="87" t="s">
        <v>390</v>
      </c>
      <c r="C19" s="323" t="s">
        <v>624</v>
      </c>
      <c r="D19" s="323"/>
      <c r="E19" s="323"/>
      <c r="F19" s="323"/>
      <c r="G19" s="323"/>
      <c r="H19" s="323"/>
      <c r="I19" s="24"/>
      <c r="J19" s="73"/>
      <c r="K19" s="1002" t="s">
        <v>788</v>
      </c>
      <c r="L19" s="73"/>
      <c r="M19" s="73">
        <f>+K5+K14+K15+K18-M17-M16-M13-M12-M10-M9</f>
        <v>1768694.79</v>
      </c>
    </row>
    <row r="20" spans="2:19" ht="21.9" customHeight="1" thickTop="1" thickBot="1">
      <c r="B20" s="87" t="s">
        <v>501</v>
      </c>
      <c r="C20" s="323"/>
      <c r="D20" s="323" t="s">
        <v>806</v>
      </c>
      <c r="E20" s="323"/>
      <c r="F20" s="323"/>
      <c r="G20" s="323"/>
      <c r="H20" s="323"/>
      <c r="I20" s="24"/>
      <c r="J20" s="113"/>
      <c r="K20" s="114">
        <f>SUM(K5:K19)</f>
        <v>1795746.61</v>
      </c>
      <c r="L20" s="115"/>
      <c r="M20" s="115">
        <f>SUM(M5:M19)</f>
        <v>1795746.61</v>
      </c>
    </row>
    <row r="21" spans="2:19" ht="21.9" customHeight="1" thickTop="1">
      <c r="B21" s="87" t="s">
        <v>502</v>
      </c>
      <c r="C21" s="323" t="s">
        <v>625</v>
      </c>
      <c r="D21" s="323"/>
      <c r="E21" s="323"/>
      <c r="F21" s="323"/>
      <c r="G21" s="323"/>
      <c r="H21" s="323"/>
      <c r="I21" s="24"/>
      <c r="J21" s="67"/>
      <c r="K21" s="110">
        <f>+M19</f>
        <v>1768694.79</v>
      </c>
      <c r="L21" s="67"/>
      <c r="M21" s="128" t="s">
        <v>788</v>
      </c>
    </row>
    <row r="22" spans="2:19" ht="21.9" customHeight="1">
      <c r="B22" s="87" t="s">
        <v>503</v>
      </c>
      <c r="C22" s="323" t="s">
        <v>313</v>
      </c>
      <c r="D22" s="323"/>
      <c r="E22" s="323"/>
      <c r="F22" s="323"/>
      <c r="G22" s="323"/>
      <c r="H22" s="323"/>
      <c r="I22" s="24"/>
      <c r="J22" s="69"/>
      <c r="K22" s="1001" t="s">
        <v>788</v>
      </c>
      <c r="L22" s="69"/>
      <c r="M22" s="69">
        <f>+I23+I24</f>
        <v>1280389.27</v>
      </c>
      <c r="N22" s="325"/>
    </row>
    <row r="23" spans="2:19" ht="21.9" customHeight="1">
      <c r="B23" s="87"/>
      <c r="C23" s="323"/>
      <c r="D23" s="323" t="s">
        <v>67</v>
      </c>
      <c r="E23" s="323" t="s">
        <v>68</v>
      </c>
      <c r="F23" s="323"/>
      <c r="G23" s="323"/>
      <c r="H23" s="49" t="s">
        <v>626</v>
      </c>
      <c r="I23" s="374">
        <v>1280389.27</v>
      </c>
      <c r="J23" s="69"/>
      <c r="K23" s="1001" t="s">
        <v>788</v>
      </c>
      <c r="L23" s="69"/>
      <c r="M23" s="127" t="s">
        <v>788</v>
      </c>
      <c r="N23" s="228"/>
      <c r="O23" s="228"/>
      <c r="S23" s="228"/>
    </row>
    <row r="24" spans="2:19" ht="21.9" customHeight="1">
      <c r="B24" s="87"/>
      <c r="C24" s="323"/>
      <c r="D24" s="323" t="s">
        <v>69</v>
      </c>
      <c r="E24" s="323" t="s">
        <v>986</v>
      </c>
      <c r="F24" s="323"/>
      <c r="G24" s="323"/>
      <c r="H24" s="49" t="s">
        <v>627</v>
      </c>
      <c r="I24" s="374"/>
      <c r="J24" s="69"/>
      <c r="K24" s="1001" t="s">
        <v>788</v>
      </c>
      <c r="L24" s="69"/>
      <c r="M24" s="127" t="s">
        <v>788</v>
      </c>
    </row>
    <row r="25" spans="2:19" ht="21.9" customHeight="1">
      <c r="B25" s="87" t="s">
        <v>288</v>
      </c>
      <c r="C25" s="323" t="str">
        <f>"Interest and Costs - "&amp;TEXT('KEY INPUTS'!D34,"0")&amp;" Tax Sale"</f>
        <v>Interest and Costs - 2019 Tax Sale</v>
      </c>
      <c r="D25" s="323"/>
      <c r="E25" s="323"/>
      <c r="F25" s="323"/>
      <c r="G25" s="323"/>
      <c r="H25" s="323"/>
      <c r="I25" s="75" t="s">
        <v>628</v>
      </c>
      <c r="J25" s="69"/>
      <c r="K25" s="581"/>
      <c r="L25" s="69"/>
      <c r="M25" s="127" t="s">
        <v>788</v>
      </c>
    </row>
    <row r="26" spans="2:19" ht="21.9" customHeight="1">
      <c r="B26" s="87" t="s">
        <v>290</v>
      </c>
      <c r="C26" s="323" t="str">
        <f>TEXT('KEY INPUTS'!D34,"0")&amp;" Taxes Transferred to Liens"</f>
        <v>2019 Taxes Transferred to Liens</v>
      </c>
      <c r="D26" s="323"/>
      <c r="E26" s="323"/>
      <c r="F26" s="323"/>
      <c r="G26" s="323"/>
      <c r="H26" s="323"/>
      <c r="I26" s="75" t="s">
        <v>629</v>
      </c>
      <c r="J26" s="69"/>
      <c r="K26" s="581">
        <v>42251.26</v>
      </c>
      <c r="L26" s="69"/>
      <c r="M26" s="127" t="s">
        <v>788</v>
      </c>
    </row>
    <row r="27" spans="2:19" ht="21.9" customHeight="1">
      <c r="B27" s="87" t="s">
        <v>292</v>
      </c>
      <c r="C27" s="323" t="str">
        <f>TEXT('KEY INPUTS'!D34,"0")&amp;" Taxes"</f>
        <v>2019 Taxes</v>
      </c>
      <c r="D27" s="323"/>
      <c r="E27" s="323"/>
      <c r="F27" s="323"/>
      <c r="G27" s="323"/>
      <c r="H27" s="323"/>
      <c r="I27" s="75" t="s">
        <v>630</v>
      </c>
      <c r="J27" s="69"/>
      <c r="K27" s="721">
        <f>+'22-2019 Levy'!N35+'22-2019 Levy'!N22</f>
        <v>995686.94999998808</v>
      </c>
      <c r="L27" s="69"/>
      <c r="M27" s="127" t="s">
        <v>788</v>
      </c>
    </row>
    <row r="28" spans="2:19" ht="21.9" customHeight="1">
      <c r="B28" s="87" t="s">
        <v>720</v>
      </c>
      <c r="C28" s="323" t="str">
        <f>'KEY INPUTS'!D26</f>
        <v>Balance - December 31, 2019</v>
      </c>
      <c r="D28" s="323"/>
      <c r="E28" s="323"/>
      <c r="F28" s="323"/>
      <c r="G28" s="323"/>
      <c r="H28" s="323"/>
      <c r="I28" s="24"/>
      <c r="J28" s="69"/>
      <c r="K28" s="1001" t="s">
        <v>788</v>
      </c>
      <c r="L28" s="69"/>
      <c r="M28" s="69">
        <f>+I29+I30</f>
        <v>1526243.7299999881</v>
      </c>
    </row>
    <row r="29" spans="2:19" ht="21.9" customHeight="1">
      <c r="B29" s="87"/>
      <c r="C29" s="323"/>
      <c r="D29" s="323" t="s">
        <v>67</v>
      </c>
      <c r="E29" s="323" t="s">
        <v>68</v>
      </c>
      <c r="F29" s="323"/>
      <c r="G29" s="323"/>
      <c r="H29" s="49" t="s">
        <v>631</v>
      </c>
      <c r="I29" s="68">
        <f>+I6-M9-M12+K14-M17-I23+K27</f>
        <v>995686.94999998808</v>
      </c>
      <c r="J29" s="69"/>
      <c r="K29" s="1001" t="s">
        <v>788</v>
      </c>
      <c r="L29" s="69"/>
      <c r="M29" s="127" t="s">
        <v>788</v>
      </c>
      <c r="N29" s="228"/>
    </row>
    <row r="30" spans="2:19" ht="21.9" customHeight="1">
      <c r="B30" s="87"/>
      <c r="C30" s="323"/>
      <c r="D30" s="323" t="s">
        <v>69</v>
      </c>
      <c r="E30" s="323" t="s">
        <v>986</v>
      </c>
      <c r="F30" s="323"/>
      <c r="G30" s="323"/>
      <c r="H30" s="49" t="s">
        <v>632</v>
      </c>
      <c r="I30" s="68">
        <f>+I7-M10-M13+K15+K18-I24+K25+K26</f>
        <v>530556.78</v>
      </c>
      <c r="J30" s="69"/>
      <c r="K30" s="1001" t="s">
        <v>788</v>
      </c>
      <c r="L30" s="69"/>
      <c r="M30" s="127" t="s">
        <v>788</v>
      </c>
      <c r="N30" s="228"/>
    </row>
    <row r="31" spans="2:19" ht="21.9" customHeight="1" thickBot="1">
      <c r="B31" s="85" t="s">
        <v>633</v>
      </c>
      <c r="C31" s="322"/>
      <c r="E31" t="s">
        <v>806</v>
      </c>
      <c r="I31" s="107"/>
      <c r="J31" s="80"/>
      <c r="K31" s="116">
        <f>SUM(K21:K30)</f>
        <v>2806632.9999999879</v>
      </c>
      <c r="L31" s="117"/>
      <c r="M31" s="117">
        <f>SUM(M21:M30)</f>
        <v>2806632.9999999879</v>
      </c>
      <c r="N31" s="228"/>
    </row>
    <row r="32" spans="2:19" ht="13.8" thickTop="1">
      <c r="B32" s="85"/>
      <c r="H32" s="228"/>
      <c r="I32" s="228"/>
      <c r="O32" s="228"/>
    </row>
    <row r="33" spans="2:13">
      <c r="B33" s="85"/>
      <c r="I33" s="228"/>
    </row>
    <row r="34" spans="2:13" ht="13.8" thickBot="1">
      <c r="B34" s="85" t="s">
        <v>634</v>
      </c>
      <c r="C34" t="s">
        <v>635</v>
      </c>
    </row>
    <row r="35" spans="2:13" ht="14.4" thickTop="1" thickBot="1">
      <c r="B35" s="85"/>
      <c r="C35" t="s">
        <v>636</v>
      </c>
      <c r="H35" s="109">
        <f>IFERROR(ROUND(M22/K21,4),"NO ENTRY")</f>
        <v>0.72389999999999999</v>
      </c>
    </row>
    <row r="36" spans="2:13" ht="14.4" thickTop="1" thickBot="1">
      <c r="B36" s="85"/>
    </row>
    <row r="37" spans="2:13" ht="14.4" thickTop="1" thickBot="1">
      <c r="B37" s="85" t="s">
        <v>637</v>
      </c>
      <c r="C37" s="36" t="s">
        <v>638</v>
      </c>
      <c r="I37" s="111">
        <f>IFERROR(H35*M28,"NO ENTRY")</f>
        <v>1104847.8361469915</v>
      </c>
      <c r="J37" t="s">
        <v>639</v>
      </c>
      <c r="M37" s="253"/>
    </row>
    <row r="38" spans="2:13" ht="13.8" thickTop="1">
      <c r="B38" s="85"/>
      <c r="C38" t="s">
        <v>413</v>
      </c>
      <c r="I38" s="57" t="s">
        <v>640</v>
      </c>
    </row>
    <row r="39" spans="2:13">
      <c r="B39" s="85"/>
    </row>
    <row r="40" spans="2:13">
      <c r="B40" s="97" t="s">
        <v>314</v>
      </c>
    </row>
    <row r="41" spans="2:13">
      <c r="B41" s="85"/>
    </row>
    <row r="42" spans="2:13">
      <c r="B42" s="97" t="s">
        <v>963</v>
      </c>
    </row>
    <row r="43" spans="2:13">
      <c r="B43" s="97"/>
    </row>
    <row r="44" spans="2:13">
      <c r="B44" s="97"/>
    </row>
    <row r="45" spans="2:13">
      <c r="B45" s="97"/>
    </row>
    <row r="46" spans="2:13">
      <c r="B46" s="97"/>
    </row>
    <row r="47" spans="2:13">
      <c r="B47" s="97"/>
    </row>
    <row r="48" spans="2:13">
      <c r="B48" s="85"/>
    </row>
    <row r="49" spans="2:13" ht="13.8">
      <c r="B49" s="1572" t="s">
        <v>964</v>
      </c>
      <c r="C49" s="1572"/>
      <c r="D49" s="1572"/>
      <c r="E49" s="1572"/>
      <c r="F49" s="1572"/>
      <c r="G49" s="1572"/>
      <c r="H49" s="1572"/>
      <c r="I49" s="1572"/>
      <c r="J49" s="1572"/>
      <c r="K49" s="1572"/>
      <c r="L49" s="1572"/>
      <c r="M49" s="1572"/>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password="CAF9"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5"/>
  <dimension ref="A2:V81"/>
  <sheetViews>
    <sheetView workbookViewId="0">
      <selection activeCell="N17" sqref="N17"/>
    </sheetView>
  </sheetViews>
  <sheetFormatPr defaultRowHeight="13.2"/>
  <cols>
    <col min="1" max="1" width="4.6640625" customWidth="1"/>
    <col min="2" max="2" width="3.5546875" customWidth="1"/>
    <col min="3" max="3" width="4.6640625" customWidth="1"/>
    <col min="4" max="4" width="2.6640625" customWidth="1"/>
    <col min="5" max="5" width="4.6640625" customWidth="1"/>
    <col min="6" max="6" width="7.44140625" customWidth="1"/>
    <col min="7" max="7" width="4.5546875" customWidth="1"/>
    <col min="8" max="8" width="1.88671875" customWidth="1"/>
    <col min="9" max="9" width="16.6640625" customWidth="1"/>
    <col min="10" max="10" width="14.6640625" customWidth="1"/>
    <col min="11" max="12" width="16.6640625" customWidth="1"/>
    <col min="14" max="14" width="12.88671875" bestFit="1" customWidth="1"/>
  </cols>
  <sheetData>
    <row r="2" spans="2:22" ht="20.399999999999999">
      <c r="B2" s="1508" t="s">
        <v>1105</v>
      </c>
      <c r="C2" s="1508"/>
      <c r="D2" s="1508"/>
      <c r="E2" s="1508"/>
      <c r="F2" s="1508"/>
      <c r="G2" s="1508"/>
      <c r="H2" s="1508"/>
      <c r="I2" s="1508"/>
      <c r="J2" s="1508"/>
      <c r="K2" s="1508"/>
      <c r="L2" s="1508"/>
    </row>
    <row r="3" spans="2:22" ht="15.6">
      <c r="B3" s="1509" t="s">
        <v>1106</v>
      </c>
      <c r="C3" s="1509"/>
      <c r="D3" s="1509"/>
      <c r="E3" s="1509"/>
      <c r="F3" s="1509"/>
      <c r="G3" s="1509"/>
      <c r="H3" s="1509"/>
      <c r="I3" s="1509"/>
      <c r="J3" s="1509"/>
      <c r="K3" s="1509"/>
      <c r="L3" s="1509"/>
    </row>
    <row r="4" spans="2:22" ht="11.25" customHeight="1" thickBot="1"/>
    <row r="5" spans="2:22" ht="21" customHeight="1" thickTop="1" thickBot="1">
      <c r="B5" s="1046"/>
      <c r="C5" s="1046"/>
      <c r="D5" s="1046"/>
      <c r="E5" s="1046"/>
      <c r="F5" s="1046"/>
      <c r="G5" s="1046"/>
      <c r="H5" s="1046"/>
      <c r="I5" s="1046"/>
      <c r="J5" s="1046"/>
      <c r="K5" s="969" t="s">
        <v>125</v>
      </c>
      <c r="L5" s="995" t="s">
        <v>126</v>
      </c>
    </row>
    <row r="6" spans="2:22" ht="21.9" customHeight="1" thickTop="1">
      <c r="B6" s="1050" t="s">
        <v>384</v>
      </c>
      <c r="C6" s="381" t="str">
        <f>'KEY INPUTS'!D25</f>
        <v>Balance - January 1, 2019</v>
      </c>
      <c r="D6" s="381"/>
      <c r="E6" s="381"/>
      <c r="F6" s="381"/>
      <c r="G6" s="381"/>
      <c r="H6" s="381"/>
      <c r="I6" s="381"/>
      <c r="J6" s="1051" t="s">
        <v>1085</v>
      </c>
      <c r="K6" s="581">
        <v>698460</v>
      </c>
      <c r="L6" s="1048" t="s">
        <v>788</v>
      </c>
    </row>
    <row r="7" spans="2:22" ht="21.9" customHeight="1">
      <c r="B7" s="983" t="s">
        <v>385</v>
      </c>
      <c r="C7" s="383" t="str">
        <f>"Foreclosed or Deeded in "&amp;TEXT('KEY INPUTS'!D34,"0")</f>
        <v>Foreclosed or Deeded in 2019</v>
      </c>
      <c r="D7" s="383"/>
      <c r="E7" s="383"/>
      <c r="F7" s="383"/>
      <c r="G7" s="383"/>
      <c r="H7" s="383"/>
      <c r="I7" s="383"/>
      <c r="J7" s="384"/>
      <c r="K7" s="1049" t="s">
        <v>788</v>
      </c>
      <c r="L7" s="979" t="s">
        <v>788</v>
      </c>
    </row>
    <row r="8" spans="2:22" ht="21.9" customHeight="1">
      <c r="B8" s="983" t="s">
        <v>386</v>
      </c>
      <c r="C8" s="383"/>
      <c r="D8" s="383" t="s">
        <v>986</v>
      </c>
      <c r="E8" s="383"/>
      <c r="F8" s="383"/>
      <c r="G8" s="383"/>
      <c r="H8" s="383"/>
      <c r="I8" s="383"/>
      <c r="J8" s="1052" t="s">
        <v>1086</v>
      </c>
      <c r="K8" s="1478">
        <f>+'26-Delinquent Taxes and Liens'!M13</f>
        <v>0</v>
      </c>
      <c r="L8" s="979" t="s">
        <v>788</v>
      </c>
      <c r="N8" s="322"/>
      <c r="O8" s="322"/>
      <c r="P8" s="322"/>
      <c r="Q8" s="322"/>
      <c r="R8" s="322"/>
      <c r="S8" s="322"/>
      <c r="T8" s="322"/>
      <c r="U8" s="322"/>
      <c r="V8" s="322"/>
    </row>
    <row r="9" spans="2:22" ht="21.9" customHeight="1">
      <c r="B9" s="983" t="s">
        <v>387</v>
      </c>
      <c r="C9" s="383"/>
      <c r="D9" s="383" t="s">
        <v>985</v>
      </c>
      <c r="E9" s="383"/>
      <c r="F9" s="383"/>
      <c r="G9" s="383"/>
      <c r="H9" s="383"/>
      <c r="I9" s="383"/>
      <c r="J9" s="1052" t="s">
        <v>1087</v>
      </c>
      <c r="K9" s="1237">
        <f>+'26-Delinquent Taxes and Liens'!M12</f>
        <v>0</v>
      </c>
      <c r="L9" s="979" t="s">
        <v>788</v>
      </c>
      <c r="N9" s="322"/>
      <c r="O9" s="322"/>
      <c r="P9" s="322"/>
      <c r="Q9" s="322"/>
      <c r="R9" s="322"/>
      <c r="S9" s="322"/>
      <c r="T9" s="322"/>
      <c r="U9" s="322"/>
      <c r="V9" s="322"/>
    </row>
    <row r="10" spans="2:22" ht="21.9" customHeight="1">
      <c r="B10" s="983" t="s">
        <v>1088</v>
      </c>
      <c r="C10" s="1562"/>
      <c r="D10" s="1562"/>
      <c r="E10" s="1562"/>
      <c r="F10" s="1562"/>
      <c r="G10" s="1562"/>
      <c r="H10" s="1562"/>
      <c r="I10" s="1562"/>
      <c r="J10" s="1052" t="s">
        <v>1090</v>
      </c>
      <c r="K10" s="581"/>
      <c r="L10" s="979" t="s">
        <v>788</v>
      </c>
      <c r="N10" s="322"/>
      <c r="O10" s="322"/>
      <c r="P10" s="322"/>
      <c r="Q10" s="322"/>
      <c r="R10" s="322"/>
      <c r="S10" s="322"/>
      <c r="T10" s="322"/>
      <c r="U10" s="322"/>
      <c r="V10" s="322"/>
    </row>
    <row r="11" spans="2:22" ht="21.9" customHeight="1">
      <c r="B11" s="983" t="s">
        <v>1089</v>
      </c>
      <c r="C11" s="1562"/>
      <c r="D11" s="1562"/>
      <c r="E11" s="1562"/>
      <c r="F11" s="1562"/>
      <c r="G11" s="1562"/>
      <c r="H11" s="1562"/>
      <c r="I11" s="1562"/>
      <c r="J11" s="1052" t="s">
        <v>1091</v>
      </c>
      <c r="K11" s="1049" t="s">
        <v>788</v>
      </c>
      <c r="L11" s="580"/>
      <c r="N11" s="322"/>
      <c r="O11" s="322"/>
      <c r="P11" s="322"/>
      <c r="Q11" s="322"/>
      <c r="R11" s="322"/>
      <c r="S11" s="322"/>
      <c r="T11" s="322"/>
      <c r="U11" s="322"/>
      <c r="V11" s="322"/>
    </row>
    <row r="12" spans="2:22" ht="21.9" customHeight="1">
      <c r="B12" s="983" t="s">
        <v>389</v>
      </c>
      <c r="C12" s="383"/>
      <c r="D12" s="383" t="s">
        <v>1092</v>
      </c>
      <c r="E12" s="383"/>
      <c r="F12" s="383"/>
      <c r="G12" s="383"/>
      <c r="H12" s="383"/>
      <c r="I12" s="383"/>
      <c r="J12" s="1052" t="s">
        <v>1093</v>
      </c>
      <c r="K12" s="581"/>
      <c r="L12" s="979" t="s">
        <v>788</v>
      </c>
      <c r="N12" s="322"/>
      <c r="O12" s="322"/>
      <c r="P12" s="322"/>
      <c r="Q12" s="322"/>
      <c r="R12" s="322"/>
      <c r="S12" s="322"/>
      <c r="T12" s="322"/>
      <c r="U12" s="322"/>
      <c r="V12" s="322"/>
    </row>
    <row r="13" spans="2:22" ht="21.9" customHeight="1">
      <c r="B13" s="983" t="s">
        <v>390</v>
      </c>
      <c r="C13" s="383"/>
      <c r="D13" s="383" t="s">
        <v>1092</v>
      </c>
      <c r="E13" s="383"/>
      <c r="F13" s="383"/>
      <c r="G13" s="383"/>
      <c r="H13" s="383"/>
      <c r="I13" s="383"/>
      <c r="J13" s="1052" t="s">
        <v>1094</v>
      </c>
      <c r="K13" s="1049" t="s">
        <v>788</v>
      </c>
      <c r="L13" s="580"/>
      <c r="N13" s="322"/>
      <c r="O13" s="322"/>
      <c r="P13" s="322"/>
      <c r="Q13" s="322"/>
      <c r="R13" s="322"/>
      <c r="S13" s="322"/>
      <c r="T13" s="322"/>
      <c r="U13" s="322"/>
      <c r="V13" s="322"/>
    </row>
    <row r="14" spans="2:22" ht="21.9" customHeight="1">
      <c r="B14" s="983" t="s">
        <v>501</v>
      </c>
      <c r="C14" s="1053" t="s">
        <v>1095</v>
      </c>
      <c r="D14" s="1053"/>
      <c r="E14" s="1053"/>
      <c r="F14" s="1053"/>
      <c r="G14" s="1053"/>
      <c r="H14" s="1053"/>
      <c r="I14" s="1053"/>
      <c r="J14" s="1054"/>
      <c r="K14" s="1049" t="s">
        <v>788</v>
      </c>
      <c r="L14" s="979" t="s">
        <v>788</v>
      </c>
      <c r="N14" s="322"/>
      <c r="O14" s="322"/>
      <c r="P14" s="322"/>
      <c r="Q14" s="322"/>
      <c r="R14" s="322"/>
      <c r="S14" s="322"/>
      <c r="T14" s="322"/>
      <c r="U14" s="322"/>
      <c r="V14" s="322"/>
    </row>
    <row r="15" spans="2:22" ht="21.9" customHeight="1">
      <c r="B15" s="983" t="s">
        <v>502</v>
      </c>
      <c r="C15" s="1055"/>
      <c r="D15" s="1056" t="s">
        <v>1096</v>
      </c>
      <c r="E15" s="1055"/>
      <c r="F15" s="1055"/>
      <c r="G15" s="1055"/>
      <c r="H15" s="1055"/>
      <c r="I15" s="1055"/>
      <c r="J15" s="1052" t="s">
        <v>1099</v>
      </c>
      <c r="K15" s="1049" t="s">
        <v>788</v>
      </c>
      <c r="L15" s="580"/>
      <c r="N15" s="322"/>
      <c r="O15" s="377"/>
      <c r="P15" s="322"/>
      <c r="Q15" s="322"/>
      <c r="R15" s="322"/>
      <c r="S15" s="322"/>
      <c r="T15" s="322"/>
      <c r="U15" s="322"/>
      <c r="V15" s="322"/>
    </row>
    <row r="16" spans="2:22" ht="21.9" customHeight="1">
      <c r="B16" s="983" t="s">
        <v>503</v>
      </c>
      <c r="C16" s="1057"/>
      <c r="D16" s="1058" t="s">
        <v>1097</v>
      </c>
      <c r="E16" s="1057"/>
      <c r="F16" s="1057"/>
      <c r="G16" s="1057"/>
      <c r="H16" s="1057"/>
      <c r="I16" s="1057"/>
      <c r="J16" s="1052" t="s">
        <v>1100</v>
      </c>
      <c r="K16" s="1049" t="s">
        <v>788</v>
      </c>
      <c r="L16" s="580"/>
      <c r="N16" s="322"/>
      <c r="O16" s="322"/>
      <c r="P16" s="322"/>
      <c r="Q16" s="322"/>
      <c r="R16" s="322"/>
      <c r="S16" s="322"/>
      <c r="T16" s="322"/>
      <c r="U16" s="322"/>
      <c r="V16" s="322"/>
    </row>
    <row r="17" spans="2:22" ht="21.9" customHeight="1">
      <c r="B17" s="983" t="s">
        <v>288</v>
      </c>
      <c r="C17" s="1059"/>
      <c r="D17" s="1055" t="s">
        <v>1098</v>
      </c>
      <c r="E17" s="1059"/>
      <c r="F17" s="1059"/>
      <c r="G17" s="1059"/>
      <c r="H17" s="1059"/>
      <c r="I17" s="1059"/>
      <c r="J17" s="1052" t="s">
        <v>1101</v>
      </c>
      <c r="K17" s="1049" t="s">
        <v>788</v>
      </c>
      <c r="L17" s="580"/>
      <c r="N17" s="322"/>
      <c r="O17" s="322"/>
      <c r="P17" s="322"/>
      <c r="Q17" s="322"/>
      <c r="R17" s="322"/>
      <c r="S17" s="322"/>
      <c r="T17" s="322"/>
      <c r="U17" s="322"/>
      <c r="V17" s="322"/>
    </row>
    <row r="18" spans="2:22" ht="21.9" customHeight="1">
      <c r="B18" s="983" t="s">
        <v>290</v>
      </c>
      <c r="C18" s="1059"/>
      <c r="D18" s="1055" t="s">
        <v>315</v>
      </c>
      <c r="E18" s="1059"/>
      <c r="F18" s="1059"/>
      <c r="G18" s="1059"/>
      <c r="H18" s="1059"/>
      <c r="I18" s="1059"/>
      <c r="J18" s="1052" t="s">
        <v>1102</v>
      </c>
      <c r="K18" s="1049" t="s">
        <v>788</v>
      </c>
      <c r="L18" s="580"/>
      <c r="N18" s="322"/>
      <c r="O18" s="322"/>
      <c r="P18" s="322"/>
      <c r="Q18" s="322"/>
      <c r="R18" s="322"/>
      <c r="S18" s="322"/>
      <c r="T18" s="322"/>
      <c r="U18" s="322"/>
      <c r="V18" s="322"/>
    </row>
    <row r="19" spans="2:22" ht="21.9" customHeight="1">
      <c r="B19" s="983" t="s">
        <v>292</v>
      </c>
      <c r="C19" s="383"/>
      <c r="D19" s="383" t="s">
        <v>316</v>
      </c>
      <c r="E19" s="383"/>
      <c r="F19" s="383"/>
      <c r="G19" s="383"/>
      <c r="H19" s="383"/>
      <c r="I19" s="383"/>
      <c r="J19" s="1052" t="s">
        <v>1103</v>
      </c>
      <c r="K19" s="581"/>
      <c r="L19" s="979" t="s">
        <v>788</v>
      </c>
      <c r="N19" s="322"/>
      <c r="O19" s="322"/>
      <c r="P19" s="322"/>
      <c r="Q19" s="322"/>
      <c r="R19" s="322"/>
      <c r="S19" s="322"/>
      <c r="T19" s="322"/>
      <c r="U19" s="322"/>
      <c r="V19" s="322"/>
    </row>
    <row r="20" spans="2:22" ht="21.9" customHeight="1" thickBot="1">
      <c r="B20" s="983" t="s">
        <v>720</v>
      </c>
      <c r="C20" s="383" t="str">
        <f>'KEY INPUTS'!D26</f>
        <v>Balance - December 31, 2019</v>
      </c>
      <c r="D20" s="383"/>
      <c r="E20" s="383"/>
      <c r="F20" s="383"/>
      <c r="G20" s="383"/>
      <c r="H20" s="383"/>
      <c r="I20" s="383"/>
      <c r="J20" s="1052" t="s">
        <v>1104</v>
      </c>
      <c r="K20" s="1062" t="s">
        <v>788</v>
      </c>
      <c r="L20" s="1060">
        <f>K6+SUM(K8:K10)-L11+K12-L13-SUM(L15:L18)+K19</f>
        <v>698460</v>
      </c>
      <c r="N20" s="322"/>
      <c r="O20" s="322"/>
      <c r="P20" s="322"/>
      <c r="Q20" s="322"/>
      <c r="R20" s="322"/>
      <c r="S20" s="322"/>
      <c r="T20" s="322"/>
      <c r="U20" s="322"/>
      <c r="V20" s="322"/>
    </row>
    <row r="21" spans="2:22" ht="21.9" customHeight="1" thickTop="1" thickBot="1">
      <c r="B21" s="85"/>
      <c r="J21" s="42"/>
      <c r="K21" s="1063">
        <f>SUM(K6:K20)</f>
        <v>698460</v>
      </c>
      <c r="L21" s="1061">
        <f>SUM(L6:L20)</f>
        <v>698460</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67" t="s">
        <v>1107</v>
      </c>
      <c r="C23" s="1567"/>
      <c r="D23" s="1567"/>
      <c r="E23" s="1567"/>
      <c r="F23" s="1567"/>
      <c r="G23" s="1567"/>
      <c r="H23" s="1567"/>
      <c r="I23" s="1567"/>
      <c r="J23" s="1567"/>
      <c r="K23" s="1567"/>
      <c r="L23" s="1567"/>
      <c r="N23" s="322"/>
      <c r="O23" s="322"/>
      <c r="P23" s="322"/>
      <c r="Q23" s="322"/>
      <c r="R23" s="322"/>
      <c r="S23" s="322"/>
      <c r="T23" s="322"/>
      <c r="U23" s="322"/>
      <c r="V23" s="322"/>
    </row>
    <row r="24" spans="2:22" ht="9.75" customHeight="1" thickBot="1">
      <c r="B24" s="855"/>
      <c r="C24" s="855"/>
      <c r="D24" s="855"/>
      <c r="E24" s="855"/>
      <c r="F24" s="855"/>
      <c r="G24" s="855"/>
      <c r="H24" s="855"/>
      <c r="I24" s="855"/>
      <c r="J24" s="855"/>
      <c r="K24" s="855"/>
      <c r="L24" s="855"/>
      <c r="N24" s="322"/>
      <c r="O24" s="322"/>
      <c r="P24" s="322"/>
      <c r="Q24" s="322"/>
      <c r="R24" s="322"/>
      <c r="S24" s="322"/>
      <c r="T24" s="322"/>
      <c r="U24" s="322"/>
      <c r="V24" s="322"/>
    </row>
    <row r="25" spans="2:22" ht="21.9" customHeight="1" thickTop="1" thickBot="1">
      <c r="B25" s="1046"/>
      <c r="C25" s="1046"/>
      <c r="D25" s="1046"/>
      <c r="E25" s="1046"/>
      <c r="F25" s="1046"/>
      <c r="G25" s="1046"/>
      <c r="H25" s="1046"/>
      <c r="I25" s="1046"/>
      <c r="J25" s="1046"/>
      <c r="K25" s="969" t="s">
        <v>125</v>
      </c>
      <c r="L25" s="995" t="s">
        <v>126</v>
      </c>
      <c r="N25" s="322"/>
      <c r="O25" s="322"/>
      <c r="P25" s="322"/>
      <c r="Q25" s="322"/>
      <c r="R25" s="322"/>
      <c r="S25" s="322"/>
      <c r="T25" s="322"/>
      <c r="U25" s="322"/>
      <c r="V25" s="322"/>
    </row>
    <row r="26" spans="2:22" ht="20.100000000000001" customHeight="1" thickTop="1">
      <c r="B26" s="1050" t="s">
        <v>633</v>
      </c>
      <c r="C26" s="381" t="str">
        <f>C6</f>
        <v>Balance - January 1, 2019</v>
      </c>
      <c r="D26" s="381"/>
      <c r="E26" s="381"/>
      <c r="F26" s="381"/>
      <c r="G26" s="381"/>
      <c r="H26" s="381"/>
      <c r="I26" s="381"/>
      <c r="J26" s="1052" t="s">
        <v>1111</v>
      </c>
      <c r="K26" s="581"/>
      <c r="L26" s="1048" t="s">
        <v>788</v>
      </c>
      <c r="N26" s="322"/>
      <c r="O26" s="322"/>
      <c r="P26" s="322"/>
      <c r="Q26" s="322"/>
      <c r="R26" s="322"/>
      <c r="S26" s="322"/>
      <c r="T26" s="322"/>
      <c r="U26" s="322"/>
      <c r="V26" s="322"/>
    </row>
    <row r="27" spans="2:22" ht="20.100000000000001" customHeight="1">
      <c r="B27" s="983" t="s">
        <v>634</v>
      </c>
      <c r="C27" s="383" t="str">
        <f>TEXT('KEY INPUTS'!D34,"0")&amp; " Sales from Foreclosed Property"</f>
        <v>2019 Sales from Foreclosed Property</v>
      </c>
      <c r="D27" s="383"/>
      <c r="E27" s="383"/>
      <c r="F27" s="383"/>
      <c r="G27" s="383"/>
      <c r="H27" s="383"/>
      <c r="I27" s="383"/>
      <c r="J27" s="1052" t="s">
        <v>1112</v>
      </c>
      <c r="K27" s="581"/>
      <c r="L27" s="979" t="s">
        <v>788</v>
      </c>
    </row>
    <row r="28" spans="2:22" ht="20.100000000000001" customHeight="1">
      <c r="B28" s="983" t="s">
        <v>637</v>
      </c>
      <c r="C28" s="383" t="s">
        <v>1110</v>
      </c>
      <c r="D28" s="383"/>
      <c r="E28" s="383"/>
      <c r="F28" s="383"/>
      <c r="G28" s="383"/>
      <c r="H28" s="383"/>
      <c r="I28" s="383"/>
      <c r="J28" s="1052" t="s">
        <v>1113</v>
      </c>
      <c r="K28" s="1049" t="s">
        <v>788</v>
      </c>
      <c r="L28" s="580"/>
    </row>
    <row r="29" spans="2:22" ht="20.100000000000001" customHeight="1">
      <c r="B29" s="983" t="s">
        <v>1108</v>
      </c>
      <c r="C29" s="1562"/>
      <c r="D29" s="1562"/>
      <c r="E29" s="1562"/>
      <c r="F29" s="1562"/>
      <c r="G29" s="1562"/>
      <c r="H29" s="1562"/>
      <c r="I29" s="1562"/>
      <c r="J29" s="1052" t="s">
        <v>1114</v>
      </c>
      <c r="K29" s="1049" t="s">
        <v>788</v>
      </c>
      <c r="L29" s="580"/>
    </row>
    <row r="30" spans="2:22" ht="20.100000000000001" customHeight="1" thickBot="1">
      <c r="B30" s="983" t="s">
        <v>1109</v>
      </c>
      <c r="C30" s="383" t="str">
        <f>C20</f>
        <v>Balance - December 31, 2019</v>
      </c>
      <c r="D30" s="383"/>
      <c r="E30" s="383"/>
      <c r="F30" s="383"/>
      <c r="G30" s="383"/>
      <c r="H30" s="383"/>
      <c r="I30" s="383"/>
      <c r="J30" s="1052" t="s">
        <v>1115</v>
      </c>
      <c r="K30" s="1062" t="s">
        <v>788</v>
      </c>
      <c r="L30" s="1064">
        <f>SUM(K26:K27)-SUM(L28:L29)</f>
        <v>0</v>
      </c>
    </row>
    <row r="31" spans="2:22" ht="20.100000000000001" customHeight="1" thickTop="1" thickBot="1">
      <c r="B31" s="85"/>
      <c r="J31" s="42"/>
      <c r="K31" s="1063">
        <f>SUM(K26:K30)</f>
        <v>0</v>
      </c>
      <c r="L31" s="1061">
        <f>SUM(L26:L30)</f>
        <v>0</v>
      </c>
    </row>
    <row r="32" spans="2:22" ht="15" customHeight="1" thickTop="1">
      <c r="B32" s="85"/>
      <c r="J32" s="42"/>
      <c r="K32" s="122"/>
      <c r="L32" s="122"/>
    </row>
    <row r="33" spans="1:12" ht="16.5" customHeight="1">
      <c r="B33" s="1567" t="s">
        <v>1116</v>
      </c>
      <c r="C33" s="1567"/>
      <c r="D33" s="1567"/>
      <c r="E33" s="1567"/>
      <c r="F33" s="1567"/>
      <c r="G33" s="1567"/>
      <c r="H33" s="1567"/>
      <c r="I33" s="1567"/>
      <c r="J33" s="1567"/>
      <c r="K33" s="1567"/>
      <c r="L33" s="1567"/>
    </row>
    <row r="34" spans="1:12" ht="9.75" customHeight="1" thickBot="1">
      <c r="B34" s="855"/>
      <c r="C34" s="855"/>
      <c r="D34" s="855"/>
      <c r="E34" s="855"/>
      <c r="F34" s="855"/>
      <c r="G34" s="855"/>
      <c r="H34" s="855"/>
      <c r="I34" s="855"/>
      <c r="J34" s="855"/>
      <c r="K34" s="855"/>
      <c r="L34" s="855"/>
    </row>
    <row r="35" spans="1:12" ht="21.9" customHeight="1" thickTop="1" thickBot="1">
      <c r="B35" s="1046"/>
      <c r="C35" s="1046"/>
      <c r="D35" s="1046"/>
      <c r="E35" s="1046"/>
      <c r="F35" s="1046"/>
      <c r="G35" s="1046"/>
      <c r="H35" s="1046"/>
      <c r="I35" s="1046"/>
      <c r="J35" s="1046"/>
      <c r="K35" s="969" t="s">
        <v>125</v>
      </c>
      <c r="L35" s="995" t="s">
        <v>126</v>
      </c>
    </row>
    <row r="36" spans="1:12" ht="20.100000000000001" customHeight="1" thickTop="1">
      <c r="B36" s="1050" t="s">
        <v>1117</v>
      </c>
      <c r="C36" s="381" t="str">
        <f>C26</f>
        <v>Balance - January 1, 2019</v>
      </c>
      <c r="D36" s="381"/>
      <c r="E36" s="381"/>
      <c r="F36" s="381"/>
      <c r="G36" s="381"/>
      <c r="H36" s="381"/>
      <c r="I36" s="381"/>
      <c r="J36" s="1052" t="s">
        <v>1122</v>
      </c>
      <c r="K36" s="581"/>
      <c r="L36" s="1048" t="s">
        <v>788</v>
      </c>
    </row>
    <row r="37" spans="1:12" ht="20.100000000000001" customHeight="1">
      <c r="B37" s="983" t="s">
        <v>1118</v>
      </c>
      <c r="C37" s="383" t="str">
        <f>C27</f>
        <v>2019 Sales from Foreclosed Property</v>
      </c>
      <c r="D37" s="383"/>
      <c r="E37" s="383"/>
      <c r="F37" s="383"/>
      <c r="G37" s="383"/>
      <c r="H37" s="383"/>
      <c r="I37" s="383"/>
      <c r="J37" s="1052" t="s">
        <v>1123</v>
      </c>
      <c r="K37" s="581"/>
      <c r="L37" s="979" t="s">
        <v>788</v>
      </c>
    </row>
    <row r="38" spans="1:12" ht="20.100000000000001" customHeight="1">
      <c r="B38" s="983" t="s">
        <v>1119</v>
      </c>
      <c r="C38" s="383" t="s">
        <v>1110</v>
      </c>
      <c r="D38" s="383"/>
      <c r="E38" s="383"/>
      <c r="F38" s="383"/>
      <c r="G38" s="383"/>
      <c r="H38" s="383"/>
      <c r="I38" s="383"/>
      <c r="J38" s="1052" t="s">
        <v>1124</v>
      </c>
      <c r="K38" s="1049" t="s">
        <v>788</v>
      </c>
      <c r="L38" s="580"/>
    </row>
    <row r="39" spans="1:12" ht="20.100000000000001" customHeight="1">
      <c r="B39" s="983" t="s">
        <v>1120</v>
      </c>
      <c r="C39" s="1562"/>
      <c r="D39" s="1562"/>
      <c r="E39" s="1562"/>
      <c r="F39" s="1562"/>
      <c r="G39" s="1562"/>
      <c r="H39" s="1562"/>
      <c r="I39" s="1562"/>
      <c r="J39" s="1052" t="s">
        <v>1125</v>
      </c>
      <c r="K39" s="1049" t="s">
        <v>788</v>
      </c>
      <c r="L39" s="580"/>
    </row>
    <row r="40" spans="1:12" ht="20.100000000000001" customHeight="1" thickBot="1">
      <c r="B40" s="983" t="s">
        <v>1121</v>
      </c>
      <c r="C40" s="383" t="str">
        <f>C30</f>
        <v>Balance - December 31, 2019</v>
      </c>
      <c r="D40" s="383"/>
      <c r="E40" s="383"/>
      <c r="F40" s="383"/>
      <c r="G40" s="383"/>
      <c r="H40" s="383"/>
      <c r="I40" s="383"/>
      <c r="J40" s="1052" t="s">
        <v>1126</v>
      </c>
      <c r="K40" s="1062" t="s">
        <v>788</v>
      </c>
      <c r="L40" s="1064">
        <f>SUM(K36:K37)-SUM(L38:L39)</f>
        <v>0</v>
      </c>
    </row>
    <row r="41" spans="1:12" ht="20.100000000000001" customHeight="1" thickTop="1" thickBot="1">
      <c r="B41" s="986"/>
      <c r="C41" s="855"/>
      <c r="D41" s="855"/>
      <c r="E41" s="855"/>
      <c r="F41" s="855"/>
      <c r="G41" s="855"/>
      <c r="H41" s="855"/>
      <c r="I41" s="855"/>
      <c r="J41" s="1065"/>
      <c r="K41" s="1063">
        <f>SUM(K36:K40)</f>
        <v>0</v>
      </c>
      <c r="L41" s="1061">
        <f>SUM(L36:L40)</f>
        <v>0</v>
      </c>
    </row>
    <row r="42" spans="1:12" ht="13.8" thickTop="1">
      <c r="B42" s="1066" t="s">
        <v>1127</v>
      </c>
      <c r="C42" s="855"/>
      <c r="D42" s="855"/>
      <c r="E42" s="855"/>
      <c r="F42" s="855"/>
      <c r="G42" s="855"/>
      <c r="H42" s="855" t="s">
        <v>482</v>
      </c>
      <c r="I42" s="851">
        <f>+L15+L28+L38</f>
        <v>0</v>
      </c>
      <c r="J42" s="855"/>
    </row>
    <row r="43" spans="1:12">
      <c r="B43" s="1067" t="str">
        <f>"* Total Cash Collected in "&amp;TEXT('KEY INPUTS'!D34,"0")</f>
        <v>* Total Cash Collected in 2019</v>
      </c>
      <c r="C43" s="855"/>
      <c r="D43" s="855"/>
      <c r="E43" s="855"/>
      <c r="F43" s="855"/>
      <c r="G43" s="855"/>
      <c r="H43" s="855"/>
      <c r="I43" s="1068" t="s">
        <v>1128</v>
      </c>
      <c r="J43" s="855"/>
    </row>
    <row r="44" spans="1:12" ht="7.5" customHeight="1">
      <c r="B44" s="85"/>
    </row>
    <row r="45" spans="1:12">
      <c r="B45" s="296" t="str">
        <f>"Realized in "&amp;TEXT('KEY INPUTS'!D34,"0")&amp; " Budget"</f>
        <v>Realized in 2019 Budget</v>
      </c>
      <c r="I45" s="580"/>
    </row>
    <row r="46" spans="1:12" ht="7.5" customHeight="1">
      <c r="B46" s="85"/>
    </row>
    <row r="47" spans="1:12">
      <c r="A47" s="855"/>
      <c r="B47" s="1066" t="s">
        <v>1129</v>
      </c>
      <c r="C47" s="855"/>
      <c r="D47" s="855"/>
      <c r="E47" s="855"/>
      <c r="F47" s="855"/>
      <c r="G47" s="855"/>
      <c r="H47" s="855"/>
      <c r="I47" s="851">
        <f>+I42-I45</f>
        <v>0</v>
      </c>
      <c r="J47" s="855"/>
      <c r="K47" s="855"/>
      <c r="L47" s="855"/>
    </row>
    <row r="48" spans="1:12">
      <c r="A48" s="855"/>
      <c r="B48" s="1066"/>
      <c r="C48" s="855"/>
      <c r="D48" s="855"/>
      <c r="E48" s="855"/>
      <c r="F48" s="855"/>
      <c r="G48" s="855"/>
      <c r="H48" s="855"/>
      <c r="I48" s="1069"/>
      <c r="J48" s="855"/>
      <c r="K48" s="855"/>
      <c r="L48" s="855"/>
    </row>
    <row r="49" spans="1:12">
      <c r="A49" s="855"/>
      <c r="B49" s="1066"/>
      <c r="C49" s="855"/>
      <c r="D49" s="855"/>
      <c r="E49" s="855"/>
      <c r="F49" s="855"/>
      <c r="G49" s="855"/>
      <c r="H49" s="855"/>
      <c r="I49" s="1069"/>
      <c r="J49" s="855"/>
      <c r="K49" s="855"/>
      <c r="L49" s="855"/>
    </row>
    <row r="50" spans="1:12" ht="13.8">
      <c r="A50" s="855"/>
      <c r="B50" s="1636" t="s">
        <v>544</v>
      </c>
      <c r="C50" s="1636"/>
      <c r="D50" s="1636"/>
      <c r="E50" s="1636"/>
      <c r="F50" s="1636"/>
      <c r="G50" s="1636"/>
      <c r="H50" s="1636"/>
      <c r="I50" s="1636"/>
      <c r="J50" s="1636"/>
      <c r="K50" s="1636"/>
      <c r="L50" s="1636"/>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6"/>
  <dimension ref="B3:X66"/>
  <sheetViews>
    <sheetView zoomScaleNormal="100" workbookViewId="0">
      <selection activeCell="C18" sqref="C18"/>
    </sheetView>
  </sheetViews>
  <sheetFormatPr defaultRowHeight="13.2"/>
  <cols>
    <col min="1" max="1" width="4.6640625" customWidth="1"/>
    <col min="2" max="2" width="3.5546875" bestFit="1" customWidth="1"/>
    <col min="3" max="3" width="4.6640625" customWidth="1"/>
    <col min="4" max="4" width="12.88671875" bestFit="1" customWidth="1"/>
    <col min="5" max="5" width="7.6640625" customWidth="1"/>
    <col min="6" max="6" width="6.88671875" customWidth="1"/>
    <col min="7" max="7" width="1.6640625" customWidth="1"/>
    <col min="8" max="8" width="12.5546875" bestFit="1" customWidth="1"/>
    <col min="9" max="9" width="1.6640625" customWidth="1"/>
    <col min="10" max="10" width="11.88671875" bestFit="1" customWidth="1"/>
    <col min="11" max="11" width="1.6640625" customWidth="1"/>
    <col min="12" max="12" width="17.5546875" customWidth="1"/>
    <col min="13" max="13" width="1.6640625" customWidth="1"/>
    <col min="14" max="14" width="14.6640625" customWidth="1"/>
    <col min="16" max="16" width="10.33203125" bestFit="1" customWidth="1"/>
  </cols>
  <sheetData>
    <row r="3" spans="2:24" ht="20.399999999999999">
      <c r="B3" s="1508" t="s">
        <v>1130</v>
      </c>
      <c r="C3" s="1508"/>
      <c r="D3" s="1508"/>
      <c r="E3" s="1508"/>
      <c r="F3" s="1508"/>
      <c r="G3" s="1508"/>
      <c r="H3" s="1508"/>
      <c r="I3" s="1508"/>
      <c r="J3" s="1508"/>
      <c r="K3" s="1508"/>
      <c r="L3" s="1508"/>
      <c r="M3" s="1508"/>
      <c r="N3" s="1508"/>
    </row>
    <row r="4" spans="2:24" ht="15.6">
      <c r="B4" s="1639" t="s">
        <v>540</v>
      </c>
      <c r="C4" s="1639"/>
      <c r="D4" s="1639"/>
      <c r="E4" s="1639"/>
      <c r="F4" s="1639"/>
      <c r="G4" s="1639"/>
      <c r="H4" s="1639"/>
      <c r="I4" s="1639"/>
      <c r="J4" s="1639"/>
      <c r="K4" s="1639"/>
      <c r="L4" s="1639"/>
      <c r="M4" s="1639"/>
      <c r="N4" s="1639"/>
    </row>
    <row r="5" spans="2:24" ht="20.399999999999999">
      <c r="B5" s="1508" t="s">
        <v>541</v>
      </c>
      <c r="C5" s="1508"/>
      <c r="D5" s="1508"/>
      <c r="E5" s="1508"/>
      <c r="F5" s="1508"/>
      <c r="G5" s="1508"/>
      <c r="H5" s="1508"/>
      <c r="I5" s="1508"/>
      <c r="J5" s="1508"/>
      <c r="K5" s="1508"/>
      <c r="L5" s="1508"/>
      <c r="M5" s="1508"/>
      <c r="N5" s="1508"/>
    </row>
    <row r="6" spans="2:24">
      <c r="B6" s="1511" t="s">
        <v>3650</v>
      </c>
      <c r="C6" s="1511"/>
      <c r="D6" s="1511"/>
      <c r="E6" s="1511"/>
      <c r="F6" s="1511"/>
      <c r="G6" s="1511"/>
      <c r="H6" s="1511"/>
      <c r="I6" s="1511"/>
      <c r="J6" s="1511"/>
      <c r="K6" s="1511"/>
      <c r="L6" s="1511"/>
      <c r="M6" s="1511"/>
      <c r="N6" s="1511"/>
    </row>
    <row r="7" spans="2:24">
      <c r="B7" s="1511" t="s">
        <v>3649</v>
      </c>
      <c r="C7" s="1511"/>
      <c r="D7" s="1511"/>
      <c r="E7" s="1511"/>
      <c r="F7" s="1511"/>
      <c r="G7" s="1511"/>
      <c r="H7" s="1511"/>
      <c r="I7" s="1511"/>
      <c r="J7" s="1511"/>
      <c r="K7" s="1511"/>
      <c r="L7" s="1511"/>
      <c r="M7" s="1511"/>
      <c r="N7" s="1511"/>
    </row>
    <row r="8" spans="2:24">
      <c r="P8" s="322"/>
      <c r="Q8" s="322"/>
      <c r="R8" s="322"/>
      <c r="S8" s="322"/>
      <c r="T8" s="322"/>
      <c r="U8" s="322"/>
      <c r="V8" s="322"/>
      <c r="W8" s="322"/>
      <c r="X8" s="322"/>
    </row>
    <row r="9" spans="2:24">
      <c r="H9" s="1" t="s">
        <v>533</v>
      </c>
      <c r="P9" s="322"/>
      <c r="Q9" s="322"/>
      <c r="R9" s="322"/>
      <c r="S9" s="322"/>
      <c r="T9" s="322"/>
      <c r="U9" s="322"/>
      <c r="V9" s="322"/>
      <c r="W9" s="322"/>
      <c r="X9" s="322"/>
    </row>
    <row r="10" spans="2:24">
      <c r="C10" s="1571" t="s">
        <v>553</v>
      </c>
      <c r="D10" s="1571"/>
      <c r="E10" s="1571"/>
      <c r="H10" s="297" t="str">
        <f>'KEY INPUTS'!D45</f>
        <v>Dec. 31, 2018</v>
      </c>
      <c r="J10" s="1" t="s">
        <v>554</v>
      </c>
      <c r="L10" s="1" t="s">
        <v>533</v>
      </c>
      <c r="N10" s="997" t="s">
        <v>672</v>
      </c>
      <c r="P10" s="322"/>
      <c r="Q10" s="322"/>
      <c r="R10" s="322"/>
      <c r="S10" s="322"/>
      <c r="T10" s="322"/>
      <c r="U10" s="322"/>
      <c r="V10" s="322"/>
      <c r="W10" s="322"/>
      <c r="X10" s="322"/>
    </row>
    <row r="11" spans="2:24">
      <c r="H11" s="1" t="s">
        <v>552</v>
      </c>
      <c r="J11" s="1">
        <f>'KEY INPUTS'!D34</f>
        <v>2019</v>
      </c>
      <c r="L11" s="1" t="s">
        <v>555</v>
      </c>
      <c r="N11" s="997" t="s">
        <v>556</v>
      </c>
      <c r="P11" s="322"/>
      <c r="Q11" s="322"/>
      <c r="R11" s="322"/>
      <c r="S11" s="322"/>
      <c r="T11" s="322"/>
      <c r="U11" s="322"/>
      <c r="V11" s="322"/>
      <c r="W11" s="322"/>
      <c r="X11" s="322"/>
    </row>
    <row r="12" spans="2:24">
      <c r="H12" s="130" t="s">
        <v>551</v>
      </c>
      <c r="J12" s="130" t="s">
        <v>677</v>
      </c>
      <c r="L12" s="290" t="str">
        <f>"from "&amp;TEXT('KEY INPUTS'!D34,"0")</f>
        <v>from 2019</v>
      </c>
      <c r="N12" s="1070" t="str">
        <f>'KEY INPUTS'!D46</f>
        <v>Dec. 31, 2019</v>
      </c>
      <c r="P12" s="322"/>
      <c r="Q12" s="322"/>
      <c r="R12" s="322"/>
      <c r="S12" s="322"/>
      <c r="T12" s="322"/>
      <c r="U12" s="322"/>
      <c r="V12" s="322"/>
      <c r="W12" s="322"/>
      <c r="X12" s="322"/>
    </row>
    <row r="13" spans="2:24">
      <c r="B13" s="85"/>
      <c r="C13" t="s">
        <v>1131</v>
      </c>
      <c r="H13" s="65"/>
      <c r="J13" s="65"/>
      <c r="L13" s="65"/>
      <c r="N13" s="1071"/>
      <c r="P13" s="322"/>
      <c r="Q13" s="322"/>
      <c r="R13" s="322"/>
      <c r="S13" s="322"/>
      <c r="T13" s="322"/>
      <c r="U13" s="322"/>
      <c r="V13" s="322"/>
      <c r="W13" s="322"/>
      <c r="X13" s="322"/>
    </row>
    <row r="14" spans="2:24">
      <c r="B14" s="85"/>
      <c r="D14" t="s">
        <v>1132</v>
      </c>
      <c r="G14" t="s">
        <v>482</v>
      </c>
      <c r="H14" s="580">
        <v>300000</v>
      </c>
      <c r="I14" t="s">
        <v>482</v>
      </c>
      <c r="J14" s="580">
        <v>300000</v>
      </c>
      <c r="K14" t="s">
        <v>482</v>
      </c>
      <c r="L14" s="580"/>
      <c r="M14" t="s">
        <v>482</v>
      </c>
      <c r="N14" s="851">
        <f>+H14-J14+L14</f>
        <v>0</v>
      </c>
      <c r="P14" s="322"/>
      <c r="Q14" s="322"/>
      <c r="R14" s="322"/>
      <c r="S14" s="322"/>
      <c r="T14" s="322"/>
      <c r="U14" s="322"/>
      <c r="V14" s="322"/>
      <c r="W14" s="322"/>
      <c r="X14" s="322"/>
    </row>
    <row r="15" spans="2:24">
      <c r="B15" s="85"/>
      <c r="H15" s="65"/>
      <c r="J15" s="65"/>
      <c r="L15" s="65"/>
      <c r="N15" s="843"/>
      <c r="P15" s="322"/>
      <c r="Q15" s="377"/>
      <c r="R15" s="322"/>
      <c r="S15" s="322"/>
      <c r="T15" s="322"/>
      <c r="U15" s="322"/>
      <c r="V15" s="322"/>
      <c r="W15" s="322"/>
      <c r="X15" s="322"/>
    </row>
    <row r="16" spans="2:24">
      <c r="B16" s="85"/>
      <c r="C16" t="s">
        <v>1131</v>
      </c>
      <c r="H16" s="65"/>
      <c r="J16" s="65"/>
      <c r="L16" s="65"/>
      <c r="N16" s="843"/>
      <c r="P16" s="322"/>
      <c r="Q16" s="322"/>
      <c r="R16" s="322"/>
      <c r="S16" s="322"/>
      <c r="T16" s="322"/>
      <c r="U16" s="322"/>
      <c r="V16" s="322"/>
      <c r="W16" s="322"/>
      <c r="X16" s="322"/>
    </row>
    <row r="17" spans="2:24">
      <c r="B17" s="85"/>
      <c r="D17" t="s">
        <v>1133</v>
      </c>
      <c r="G17" t="s">
        <v>482</v>
      </c>
      <c r="H17" s="580"/>
      <c r="I17" t="s">
        <v>482</v>
      </c>
      <c r="J17" s="580"/>
      <c r="K17" t="s">
        <v>482</v>
      </c>
      <c r="L17" s="580"/>
      <c r="M17" t="s">
        <v>482</v>
      </c>
      <c r="N17" s="851">
        <f>+H17-J17+L17</f>
        <v>0</v>
      </c>
      <c r="P17" s="322"/>
      <c r="Q17" s="322"/>
      <c r="R17" s="322"/>
      <c r="S17" s="322"/>
      <c r="T17" s="322"/>
      <c r="U17" s="322"/>
      <c r="V17" s="322"/>
      <c r="W17" s="322"/>
      <c r="X17" s="322"/>
    </row>
    <row r="18" spans="2:24" ht="21" customHeight="1">
      <c r="B18" s="85"/>
      <c r="C18" s="774" t="s">
        <v>3775</v>
      </c>
      <c r="D18" s="30"/>
      <c r="E18" s="30"/>
      <c r="F18" s="30"/>
      <c r="G18" s="322" t="s">
        <v>482</v>
      </c>
      <c r="H18" s="580"/>
      <c r="I18" s="322" t="s">
        <v>482</v>
      </c>
      <c r="J18" s="580"/>
      <c r="K18" s="322" t="s">
        <v>482</v>
      </c>
      <c r="L18" s="580"/>
      <c r="M18" s="322" t="s">
        <v>482</v>
      </c>
      <c r="N18" s="851">
        <f>+H18-J18+L18</f>
        <v>0</v>
      </c>
      <c r="P18" s="322"/>
      <c r="Q18" s="322"/>
      <c r="R18" s="322"/>
      <c r="S18" s="322"/>
      <c r="T18" s="322"/>
      <c r="U18" s="322"/>
      <c r="V18" s="322"/>
      <c r="W18" s="322"/>
      <c r="X18" s="322"/>
    </row>
    <row r="19" spans="2:24" ht="21" customHeight="1">
      <c r="B19" s="85"/>
      <c r="C19" s="1562"/>
      <c r="D19" s="1562"/>
      <c r="E19" s="1562"/>
      <c r="F19" s="1562"/>
      <c r="G19" s="322" t="s">
        <v>482</v>
      </c>
      <c r="H19" s="580"/>
      <c r="I19" s="322" t="s">
        <v>482</v>
      </c>
      <c r="J19" s="580"/>
      <c r="K19" s="322" t="s">
        <v>482</v>
      </c>
      <c r="L19" s="580"/>
      <c r="M19" s="322" t="s">
        <v>482</v>
      </c>
      <c r="N19" s="851">
        <f t="shared" ref="N19:N24" si="0">+H19-J19+L19</f>
        <v>0</v>
      </c>
      <c r="P19" s="322"/>
      <c r="Q19" s="322"/>
      <c r="R19" s="322"/>
      <c r="S19" s="322"/>
      <c r="T19" s="322"/>
      <c r="U19" s="322"/>
      <c r="V19" s="322"/>
      <c r="W19" s="322"/>
      <c r="X19" s="322"/>
    </row>
    <row r="20" spans="2:24" ht="21" customHeight="1">
      <c r="B20" s="85"/>
      <c r="C20" s="1562"/>
      <c r="D20" s="1562"/>
      <c r="E20" s="1562"/>
      <c r="F20" s="1562"/>
      <c r="G20" s="322" t="s">
        <v>482</v>
      </c>
      <c r="H20" s="580"/>
      <c r="I20" s="322" t="s">
        <v>482</v>
      </c>
      <c r="J20" s="580"/>
      <c r="K20" s="322" t="s">
        <v>482</v>
      </c>
      <c r="L20" s="580"/>
      <c r="M20" s="322" t="s">
        <v>482</v>
      </c>
      <c r="N20" s="851">
        <f t="shared" si="0"/>
        <v>0</v>
      </c>
      <c r="P20" s="322"/>
      <c r="Q20" s="322"/>
      <c r="R20" s="322"/>
      <c r="S20" s="322"/>
      <c r="T20" s="322"/>
      <c r="U20" s="322"/>
      <c r="V20" s="322"/>
      <c r="W20" s="322"/>
      <c r="X20" s="322"/>
    </row>
    <row r="21" spans="2:24" ht="21" customHeight="1">
      <c r="B21" s="85"/>
      <c r="C21" s="1562" t="s">
        <v>4017</v>
      </c>
      <c r="D21" s="1562"/>
      <c r="E21" s="1562"/>
      <c r="F21" s="1562"/>
      <c r="G21" s="322" t="s">
        <v>482</v>
      </c>
      <c r="H21" s="580"/>
      <c r="I21" s="322" t="s">
        <v>482</v>
      </c>
      <c r="J21" s="580"/>
      <c r="K21" s="322" t="s">
        <v>482</v>
      </c>
      <c r="L21" s="580"/>
      <c r="M21" s="322" t="s">
        <v>482</v>
      </c>
      <c r="N21" s="851">
        <f t="shared" si="0"/>
        <v>0</v>
      </c>
      <c r="P21" s="322"/>
      <c r="Q21" s="322"/>
      <c r="R21" s="322"/>
      <c r="S21" s="322"/>
      <c r="T21" s="322"/>
      <c r="U21" s="322"/>
      <c r="V21" s="322"/>
      <c r="W21" s="322"/>
      <c r="X21" s="322"/>
    </row>
    <row r="22" spans="2:24" ht="21" customHeight="1">
      <c r="B22" s="85"/>
      <c r="C22" s="1562" t="s">
        <v>4018</v>
      </c>
      <c r="D22" s="1562"/>
      <c r="E22" s="1562"/>
      <c r="F22" s="1562"/>
      <c r="G22" s="322" t="s">
        <v>482</v>
      </c>
      <c r="H22" s="580">
        <v>31463.35</v>
      </c>
      <c r="I22" s="322" t="s">
        <v>482</v>
      </c>
      <c r="J22" s="580">
        <v>31464</v>
      </c>
      <c r="K22" s="322" t="s">
        <v>482</v>
      </c>
      <c r="L22" s="580">
        <v>41300.629999999997</v>
      </c>
      <c r="M22" s="322" t="s">
        <v>482</v>
      </c>
      <c r="N22" s="851">
        <f t="shared" si="0"/>
        <v>41299.979999999996</v>
      </c>
      <c r="P22" s="322"/>
      <c r="Q22" s="322"/>
      <c r="R22" s="322"/>
      <c r="S22" s="322"/>
      <c r="T22" s="322"/>
      <c r="U22" s="322"/>
      <c r="V22" s="322"/>
      <c r="W22" s="322"/>
      <c r="X22" s="322"/>
    </row>
    <row r="23" spans="2:24" ht="21" customHeight="1">
      <c r="B23" s="85"/>
      <c r="C23" s="1562" t="s">
        <v>4015</v>
      </c>
      <c r="D23" s="1562"/>
      <c r="E23" s="1562"/>
      <c r="F23" s="1562"/>
      <c r="G23" s="322" t="s">
        <v>482</v>
      </c>
      <c r="H23" s="580"/>
      <c r="I23" s="322" t="s">
        <v>482</v>
      </c>
      <c r="J23" s="580"/>
      <c r="K23" s="322" t="s">
        <v>482</v>
      </c>
      <c r="L23" s="580"/>
      <c r="M23" s="322" t="s">
        <v>482</v>
      </c>
      <c r="N23" s="851">
        <f t="shared" si="0"/>
        <v>0</v>
      </c>
      <c r="P23" s="322"/>
      <c r="Q23" s="322"/>
      <c r="R23" s="322"/>
      <c r="S23" s="322"/>
      <c r="T23" s="322"/>
      <c r="U23" s="322"/>
      <c r="V23" s="322"/>
      <c r="W23" s="322"/>
      <c r="X23" s="322"/>
    </row>
    <row r="24" spans="2:24" ht="21" customHeight="1">
      <c r="B24" s="85"/>
      <c r="C24" s="1562" t="s">
        <v>4016</v>
      </c>
      <c r="D24" s="1562"/>
      <c r="E24" s="1562"/>
      <c r="F24" s="1562"/>
      <c r="G24" s="322" t="s">
        <v>482</v>
      </c>
      <c r="H24" s="580">
        <v>56014.8</v>
      </c>
      <c r="I24" s="322" t="s">
        <v>482</v>
      </c>
      <c r="J24" s="580"/>
      <c r="K24" s="322" t="s">
        <v>482</v>
      </c>
      <c r="L24" s="580"/>
      <c r="M24" s="322" t="s">
        <v>482</v>
      </c>
      <c r="N24" s="851">
        <f t="shared" si="0"/>
        <v>56014.8</v>
      </c>
      <c r="P24" s="322"/>
      <c r="Q24" s="322"/>
      <c r="R24" s="322"/>
      <c r="S24" s="322"/>
      <c r="T24" s="322"/>
      <c r="U24" s="322"/>
      <c r="V24" s="322"/>
      <c r="W24" s="322"/>
      <c r="X24" s="322"/>
    </row>
    <row r="25" spans="2:24" ht="21" customHeight="1">
      <c r="B25" s="986"/>
      <c r="C25" s="1072" t="s">
        <v>3529</v>
      </c>
      <c r="D25" s="1073"/>
      <c r="E25" s="1073"/>
      <c r="F25" s="1073"/>
      <c r="G25" s="855" t="s">
        <v>482</v>
      </c>
      <c r="H25" s="851">
        <f>SUM(H14:H24)</f>
        <v>387478.14999999997</v>
      </c>
      <c r="I25" s="841" t="s">
        <v>482</v>
      </c>
      <c r="J25" s="851">
        <f>SUM(J14:J24)</f>
        <v>331464</v>
      </c>
      <c r="K25" s="841" t="s">
        <v>482</v>
      </c>
      <c r="L25" s="851">
        <f>SUM(L14:L24)</f>
        <v>41300.629999999997</v>
      </c>
      <c r="M25" s="841" t="s">
        <v>482</v>
      </c>
      <c r="N25" s="851">
        <f>SUM(N14:N24)</f>
        <v>97314.78</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1134</v>
      </c>
    </row>
    <row r="28" spans="2:24">
      <c r="B28" s="85"/>
    </row>
    <row r="29" spans="2:24">
      <c r="B29" s="85"/>
    </row>
    <row r="30" spans="2:24" ht="15.6">
      <c r="B30" s="1637" t="s">
        <v>3648</v>
      </c>
      <c r="C30" s="1637"/>
      <c r="D30" s="1637"/>
      <c r="E30" s="1637"/>
      <c r="F30" s="1637"/>
      <c r="G30" s="1637"/>
      <c r="H30" s="1637"/>
      <c r="I30" s="1637"/>
      <c r="J30" s="1637"/>
      <c r="K30" s="1637"/>
      <c r="L30" s="1637"/>
      <c r="M30" s="1637"/>
      <c r="N30" s="1637"/>
    </row>
    <row r="31" spans="2:24" ht="15.6">
      <c r="B31" s="1637" t="s">
        <v>3651</v>
      </c>
      <c r="C31" s="1637"/>
      <c r="D31" s="1637"/>
      <c r="E31" s="1637"/>
      <c r="F31" s="1637"/>
      <c r="G31" s="1637"/>
      <c r="H31" s="1637"/>
      <c r="I31" s="1637"/>
      <c r="J31" s="1637"/>
      <c r="K31" s="1637"/>
      <c r="L31" s="1637"/>
      <c r="M31" s="1637"/>
      <c r="N31" s="1637"/>
    </row>
    <row r="32" spans="2:24" ht="6.75" customHeight="1">
      <c r="B32" s="129"/>
      <c r="C32" s="129"/>
      <c r="D32" s="129"/>
      <c r="E32" s="129"/>
      <c r="F32" s="129"/>
      <c r="G32" s="129"/>
      <c r="H32" s="129"/>
      <c r="I32" s="129"/>
      <c r="J32" s="129"/>
      <c r="K32" s="129"/>
      <c r="L32" s="129"/>
      <c r="M32" s="129"/>
      <c r="N32" s="129"/>
    </row>
    <row r="33" spans="2:14" ht="18" customHeight="1">
      <c r="B33" s="85"/>
      <c r="D33" s="1638" t="s">
        <v>18</v>
      </c>
      <c r="E33" s="1638"/>
      <c r="F33" s="106"/>
      <c r="G33" s="1638" t="s">
        <v>532</v>
      </c>
      <c r="H33" s="1638"/>
      <c r="I33" s="1638"/>
      <c r="J33" s="1638"/>
      <c r="K33" s="1638"/>
      <c r="L33" s="1638"/>
      <c r="M33" s="106"/>
      <c r="N33" s="131" t="s">
        <v>533</v>
      </c>
    </row>
    <row r="34" spans="2:14" ht="21" customHeight="1">
      <c r="B34" s="85"/>
      <c r="C34" s="85" t="s">
        <v>384</v>
      </c>
      <c r="D34" s="1641"/>
      <c r="E34" s="1641"/>
      <c r="G34" s="1640"/>
      <c r="H34" s="1640"/>
      <c r="I34" s="1640"/>
      <c r="J34" s="1640"/>
      <c r="K34" s="1640"/>
      <c r="L34" s="1640"/>
      <c r="M34" t="s">
        <v>482</v>
      </c>
      <c r="N34" s="580"/>
    </row>
    <row r="35" spans="2:14" ht="21" customHeight="1">
      <c r="B35" s="85"/>
      <c r="C35" s="85" t="s">
        <v>385</v>
      </c>
      <c r="D35" s="1641"/>
      <c r="E35" s="1641"/>
      <c r="F35" s="322"/>
      <c r="G35" s="1640"/>
      <c r="H35" s="1640"/>
      <c r="I35" s="1640"/>
      <c r="J35" s="1640"/>
      <c r="K35" s="1640"/>
      <c r="L35" s="1640"/>
      <c r="M35" s="322" t="s">
        <v>482</v>
      </c>
      <c r="N35" s="580"/>
    </row>
    <row r="36" spans="2:14" ht="21" customHeight="1">
      <c r="B36" s="85"/>
      <c r="C36" s="85" t="s">
        <v>386</v>
      </c>
      <c r="D36" s="1641"/>
      <c r="E36" s="1641"/>
      <c r="F36" s="322"/>
      <c r="G36" s="1640"/>
      <c r="H36" s="1640"/>
      <c r="I36" s="1640"/>
      <c r="J36" s="1640"/>
      <c r="K36" s="1640"/>
      <c r="L36" s="1640"/>
      <c r="M36" s="322" t="s">
        <v>482</v>
      </c>
      <c r="N36" s="580"/>
    </row>
    <row r="37" spans="2:14" ht="21" customHeight="1">
      <c r="B37" s="85"/>
      <c r="C37" s="85" t="s">
        <v>387</v>
      </c>
      <c r="D37" s="1641"/>
      <c r="E37" s="1641"/>
      <c r="F37" s="322"/>
      <c r="G37" s="1640"/>
      <c r="H37" s="1640"/>
      <c r="I37" s="1640"/>
      <c r="J37" s="1640"/>
      <c r="K37" s="1640"/>
      <c r="L37" s="1640"/>
      <c r="M37" s="322" t="s">
        <v>482</v>
      </c>
      <c r="N37" s="580"/>
    </row>
    <row r="38" spans="2:14" ht="21" customHeight="1">
      <c r="B38" s="85"/>
      <c r="C38" s="85" t="s">
        <v>388</v>
      </c>
      <c r="D38" s="1641"/>
      <c r="E38" s="1641"/>
      <c r="F38" s="322"/>
      <c r="G38" s="1640"/>
      <c r="H38" s="1640"/>
      <c r="I38" s="1640"/>
      <c r="J38" s="1640"/>
      <c r="K38" s="1640"/>
      <c r="L38" s="1640"/>
      <c r="M38" s="322" t="s">
        <v>482</v>
      </c>
      <c r="N38" s="580"/>
    </row>
    <row r="39" spans="2:14">
      <c r="B39" s="85"/>
    </row>
    <row r="40" spans="2:14">
      <c r="B40" s="85"/>
    </row>
    <row r="41" spans="2:14">
      <c r="B41" s="85"/>
    </row>
    <row r="42" spans="2:14" ht="15.6">
      <c r="B42" s="1637" t="s">
        <v>322</v>
      </c>
      <c r="C42" s="1637"/>
      <c r="D42" s="1637"/>
      <c r="E42" s="1637"/>
      <c r="F42" s="1637"/>
      <c r="G42" s="1637"/>
      <c r="H42" s="1637"/>
      <c r="I42" s="1637"/>
      <c r="J42" s="1637"/>
      <c r="K42" s="1637"/>
      <c r="L42" s="1637"/>
      <c r="M42" s="1637"/>
      <c r="N42" s="1637"/>
    </row>
    <row r="43" spans="2:14">
      <c r="B43" s="85"/>
    </row>
    <row r="44" spans="2:14">
      <c r="B44" s="85"/>
      <c r="N44" s="1" t="s">
        <v>538</v>
      </c>
    </row>
    <row r="45" spans="2:14">
      <c r="B45" s="85"/>
      <c r="N45" s="1" t="s">
        <v>539</v>
      </c>
    </row>
    <row r="46" spans="2:14">
      <c r="B46" s="85"/>
      <c r="D46" s="1571" t="s">
        <v>535</v>
      </c>
      <c r="E46" s="1571"/>
      <c r="H46" s="1571" t="s">
        <v>536</v>
      </c>
      <c r="I46" s="1571"/>
      <c r="J46" s="130" t="s">
        <v>537</v>
      </c>
      <c r="L46" s="130" t="s">
        <v>533</v>
      </c>
      <c r="N46" s="290" t="str">
        <f>"Year "&amp;TEXT('KEY INPUTS'!D33,"0")</f>
        <v>Year 2020</v>
      </c>
    </row>
    <row r="47" spans="2:14">
      <c r="B47" s="85"/>
    </row>
    <row r="48" spans="2:14" ht="21" customHeight="1">
      <c r="B48" s="85"/>
      <c r="C48" s="85" t="s">
        <v>384</v>
      </c>
      <c r="D48" s="1642"/>
      <c r="E48" s="1642"/>
      <c r="F48" s="1642"/>
      <c r="G48" s="30"/>
      <c r="H48" s="580"/>
      <c r="I48" s="30"/>
      <c r="J48" s="580"/>
      <c r="K48" t="s">
        <v>482</v>
      </c>
      <c r="L48" s="580"/>
      <c r="M48" s="65"/>
      <c r="N48" s="580"/>
    </row>
    <row r="49" spans="2:14" ht="21" customHeight="1">
      <c r="B49" s="85"/>
      <c r="C49" s="85" t="s">
        <v>385</v>
      </c>
      <c r="D49" s="1642"/>
      <c r="E49" s="1642"/>
      <c r="F49" s="1642"/>
      <c r="G49" s="284"/>
      <c r="H49" s="580"/>
      <c r="I49" s="284"/>
      <c r="J49" s="580"/>
      <c r="K49" s="322" t="s">
        <v>482</v>
      </c>
      <c r="L49" s="580"/>
      <c r="M49" s="287"/>
      <c r="N49" s="580"/>
    </row>
    <row r="50" spans="2:14" ht="21" customHeight="1">
      <c r="B50" s="85"/>
      <c r="C50" s="85" t="s">
        <v>386</v>
      </c>
      <c r="D50" s="1642"/>
      <c r="E50" s="1642"/>
      <c r="F50" s="1642"/>
      <c r="G50" s="284"/>
      <c r="H50" s="580"/>
      <c r="I50" s="284"/>
      <c r="J50" s="580"/>
      <c r="K50" s="322" t="s">
        <v>482</v>
      </c>
      <c r="L50" s="580"/>
      <c r="M50" s="287"/>
      <c r="N50" s="580"/>
    </row>
    <row r="51" spans="2:14" ht="21" customHeight="1">
      <c r="B51" s="85"/>
      <c r="C51" s="85" t="s">
        <v>387</v>
      </c>
      <c r="D51" s="1642"/>
      <c r="E51" s="1642"/>
      <c r="F51" s="1642"/>
      <c r="G51" s="284"/>
      <c r="H51" s="580"/>
      <c r="I51" s="284"/>
      <c r="J51" s="580"/>
      <c r="K51" s="322" t="s">
        <v>482</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3.8">
      <c r="B58" s="1572" t="s">
        <v>534</v>
      </c>
      <c r="C58" s="1572"/>
      <c r="D58" s="1572"/>
      <c r="E58" s="1572"/>
      <c r="F58" s="1572"/>
      <c r="G58" s="1572"/>
      <c r="H58" s="1572"/>
      <c r="I58" s="1572"/>
      <c r="J58" s="1572"/>
      <c r="K58" s="1572"/>
      <c r="L58" s="1572"/>
      <c r="M58" s="1572"/>
      <c r="N58" s="1572"/>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mergeCells count="34">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7"/>
  <dimension ref="A1:V36"/>
  <sheetViews>
    <sheetView workbookViewId="0">
      <selection activeCell="K10" sqref="K10"/>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 min="13" max="13" width="10.44140625" bestFit="1" customWidth="1"/>
  </cols>
  <sheetData>
    <row r="1" spans="1:22">
      <c r="B1" s="855"/>
      <c r="C1" s="855"/>
      <c r="D1" s="855"/>
      <c r="E1" s="855"/>
      <c r="F1" s="855"/>
      <c r="G1" s="855"/>
      <c r="H1" s="855"/>
      <c r="I1" s="855"/>
      <c r="J1" s="855"/>
      <c r="K1" s="855"/>
      <c r="L1" s="855"/>
    </row>
    <row r="2" spans="1:22" ht="17.399999999999999">
      <c r="B2" s="1074"/>
      <c r="C2" s="1074" t="s">
        <v>609</v>
      </c>
      <c r="D2" s="855"/>
      <c r="E2" s="855"/>
      <c r="F2" s="855" t="s">
        <v>568</v>
      </c>
      <c r="G2" s="855"/>
      <c r="H2" s="855"/>
      <c r="I2" s="855"/>
      <c r="J2" s="855"/>
      <c r="K2" s="855"/>
      <c r="L2" s="855"/>
    </row>
    <row r="3" spans="1:22">
      <c r="B3" s="855"/>
      <c r="C3" s="855"/>
      <c r="D3" s="855"/>
      <c r="E3" s="855"/>
      <c r="F3" s="855" t="s">
        <v>610</v>
      </c>
      <c r="G3" s="855"/>
      <c r="H3" s="855"/>
      <c r="I3" s="855"/>
      <c r="J3" s="855"/>
      <c r="K3" s="855"/>
      <c r="L3" s="855"/>
    </row>
    <row r="4" spans="1:22">
      <c r="B4" s="855"/>
      <c r="C4" s="855"/>
      <c r="D4" s="855"/>
      <c r="E4" s="855"/>
      <c r="F4" s="855" t="s">
        <v>151</v>
      </c>
      <c r="G4" s="855"/>
      <c r="H4" s="855"/>
      <c r="I4" s="855"/>
      <c r="J4" s="855"/>
      <c r="K4" s="855"/>
      <c r="L4" s="855"/>
    </row>
    <row r="5" spans="1:22" ht="13.8" thickBot="1">
      <c r="B5" s="855"/>
      <c r="C5" s="855"/>
      <c r="D5" s="855"/>
      <c r="E5" s="855"/>
      <c r="F5" s="855"/>
      <c r="G5" s="855"/>
      <c r="H5" s="855"/>
      <c r="I5" s="855"/>
      <c r="J5" s="855"/>
      <c r="K5" s="855"/>
      <c r="L5" s="855"/>
    </row>
    <row r="6" spans="1:22" ht="13.8" thickTop="1">
      <c r="B6" s="888"/>
      <c r="C6" s="888"/>
      <c r="D6" s="888"/>
      <c r="E6" s="1075"/>
      <c r="F6" s="888"/>
      <c r="G6" s="889"/>
      <c r="H6" s="1076"/>
      <c r="I6" s="889"/>
      <c r="J6" s="888"/>
      <c r="K6" s="888"/>
      <c r="L6" s="865"/>
    </row>
    <row r="7" spans="1:22" ht="15.6">
      <c r="B7" s="1596" t="s">
        <v>18</v>
      </c>
      <c r="C7" s="1596"/>
      <c r="D7" s="1596"/>
      <c r="E7" s="1647" t="s">
        <v>532</v>
      </c>
      <c r="F7" s="1597"/>
      <c r="G7" s="891" t="s">
        <v>533</v>
      </c>
      <c r="H7" s="997" t="s">
        <v>561</v>
      </c>
      <c r="I7" s="891" t="s">
        <v>672</v>
      </c>
      <c r="J7" s="1644" t="str">
        <f>"REDUCED  IN  "&amp;TEXT('KEY INPUTS'!D34,"0")</f>
        <v>REDUCED  IN  2019</v>
      </c>
      <c r="K7" s="1645"/>
      <c r="L7" s="866" t="s">
        <v>672</v>
      </c>
      <c r="N7" s="322"/>
      <c r="O7" s="322"/>
      <c r="P7" s="322"/>
      <c r="Q7" s="322"/>
      <c r="R7" s="322"/>
      <c r="S7" s="322"/>
      <c r="T7" s="322"/>
      <c r="U7" s="322"/>
      <c r="V7" s="322"/>
    </row>
    <row r="8" spans="1:22">
      <c r="B8" s="855"/>
      <c r="C8" s="855"/>
      <c r="D8" s="855"/>
      <c r="E8" s="1077"/>
      <c r="F8" s="855"/>
      <c r="G8" s="891" t="s">
        <v>560</v>
      </c>
      <c r="H8" s="997" t="s">
        <v>562</v>
      </c>
      <c r="I8" s="894" t="str">
        <f>'KEY INPUTS'!D45</f>
        <v>Dec. 31, 2018</v>
      </c>
      <c r="J8" s="891" t="str">
        <f>"By "&amp;TEXT('KEY INPUTS'!D34,"0")</f>
        <v>By 2019</v>
      </c>
      <c r="K8" s="891" t="s">
        <v>558</v>
      </c>
      <c r="L8" s="867" t="str">
        <f>'KEY INPUTS'!D46</f>
        <v>Dec. 31, 2019</v>
      </c>
      <c r="N8" s="322"/>
      <c r="O8" s="322"/>
      <c r="P8" s="322"/>
      <c r="Q8" s="322"/>
      <c r="R8" s="322"/>
      <c r="S8" s="322"/>
      <c r="T8" s="322"/>
      <c r="U8" s="322"/>
      <c r="V8" s="322"/>
    </row>
    <row r="9" spans="1:22" ht="13.8" thickBot="1">
      <c r="B9" s="897"/>
      <c r="C9" s="897"/>
      <c r="D9" s="897"/>
      <c r="E9" s="900"/>
      <c r="F9" s="897"/>
      <c r="G9" s="899"/>
      <c r="H9" s="1078" t="s">
        <v>563</v>
      </c>
      <c r="I9" s="898"/>
      <c r="J9" s="899" t="s">
        <v>677</v>
      </c>
      <c r="K9" s="899" t="s">
        <v>559</v>
      </c>
      <c r="L9" s="868"/>
      <c r="N9" s="322"/>
      <c r="O9" s="322"/>
      <c r="P9" s="322"/>
      <c r="Q9" s="322"/>
      <c r="R9" s="322"/>
      <c r="S9" s="322"/>
      <c r="T9" s="322"/>
      <c r="U9" s="322"/>
      <c r="V9" s="322"/>
    </row>
    <row r="10" spans="1:22" ht="21" customHeight="1" thickTop="1">
      <c r="B10" s="1648"/>
      <c r="C10" s="1648"/>
      <c r="D10" s="1649"/>
      <c r="E10" s="592" t="s">
        <v>4014</v>
      </c>
      <c r="F10" s="570"/>
      <c r="G10" s="593">
        <v>350000</v>
      </c>
      <c r="H10" s="593">
        <v>70000</v>
      </c>
      <c r="I10" s="594">
        <v>280000</v>
      </c>
      <c r="J10" s="594">
        <v>70000</v>
      </c>
      <c r="K10" s="594"/>
      <c r="L10" s="1079">
        <f>+I10-J10-K10</f>
        <v>210000</v>
      </c>
      <c r="N10" s="322"/>
      <c r="O10" s="322"/>
      <c r="P10" s="322"/>
      <c r="Q10" s="322"/>
      <c r="R10" s="322"/>
      <c r="S10" s="322"/>
      <c r="T10" s="322"/>
      <c r="U10" s="322"/>
      <c r="V10" s="322"/>
    </row>
    <row r="11" spans="1:22" ht="21" customHeight="1">
      <c r="B11" s="1650"/>
      <c r="C11" s="1529"/>
      <c r="D11" s="1646"/>
      <c r="E11" s="595"/>
      <c r="F11" s="572"/>
      <c r="G11" s="581"/>
      <c r="H11" s="581"/>
      <c r="I11" s="374"/>
      <c r="J11" s="374"/>
      <c r="K11" s="374"/>
      <c r="L11" s="1080">
        <f>+I11-J11-K11</f>
        <v>0</v>
      </c>
      <c r="M11" s="228"/>
      <c r="N11" s="322"/>
      <c r="O11" s="322"/>
      <c r="P11" s="322"/>
      <c r="Q11" s="322"/>
      <c r="R11" s="322"/>
      <c r="S11" s="322"/>
      <c r="T11" s="322"/>
      <c r="U11" s="322"/>
      <c r="V11" s="322"/>
    </row>
    <row r="12" spans="1:22" ht="21" customHeight="1">
      <c r="B12" s="1650"/>
      <c r="C12" s="1529"/>
      <c r="D12" s="1646"/>
      <c r="E12" s="595"/>
      <c r="F12" s="572"/>
      <c r="G12" s="596"/>
      <c r="H12" s="581"/>
      <c r="I12" s="597"/>
      <c r="J12" s="374"/>
      <c r="K12" s="374"/>
      <c r="L12" s="1080">
        <f t="shared" ref="L12:L20" si="0">+I12-J12-K12</f>
        <v>0</v>
      </c>
      <c r="M12" s="228"/>
      <c r="N12" s="322"/>
      <c r="O12" s="322"/>
      <c r="P12" s="322"/>
      <c r="Q12" s="322"/>
      <c r="R12" s="322"/>
      <c r="S12" s="322"/>
      <c r="T12" s="322"/>
      <c r="U12" s="322"/>
      <c r="V12" s="322"/>
    </row>
    <row r="13" spans="1:22" ht="21" customHeight="1">
      <c r="B13" s="1529"/>
      <c r="C13" s="1529"/>
      <c r="D13" s="1646"/>
      <c r="E13" s="595"/>
      <c r="F13" s="572"/>
      <c r="G13" s="581"/>
      <c r="H13" s="581"/>
      <c r="I13" s="374"/>
      <c r="J13" s="374"/>
      <c r="K13" s="374"/>
      <c r="L13" s="1080">
        <f t="shared" si="0"/>
        <v>0</v>
      </c>
      <c r="N13" s="322"/>
      <c r="O13" s="322"/>
      <c r="P13" s="322"/>
      <c r="Q13" s="322"/>
      <c r="R13" s="322"/>
      <c r="S13" s="322"/>
      <c r="T13" s="322"/>
      <c r="U13" s="322"/>
      <c r="V13" s="322"/>
    </row>
    <row r="14" spans="1:22" ht="21" customHeight="1">
      <c r="B14" s="1650"/>
      <c r="C14" s="1529"/>
      <c r="D14" s="1646"/>
      <c r="E14" s="595"/>
      <c r="F14" s="572"/>
      <c r="G14" s="581"/>
      <c r="H14" s="581"/>
      <c r="I14" s="374"/>
      <c r="J14" s="374"/>
      <c r="K14" s="374"/>
      <c r="L14" s="1080">
        <f t="shared" si="0"/>
        <v>0</v>
      </c>
      <c r="N14" s="322"/>
      <c r="O14" s="377"/>
      <c r="P14" s="322"/>
      <c r="Q14" s="322"/>
      <c r="R14" s="322"/>
      <c r="S14" s="322"/>
      <c r="T14" s="322"/>
      <c r="U14" s="322"/>
      <c r="V14" s="322"/>
    </row>
    <row r="15" spans="1:22" ht="21" customHeight="1">
      <c r="B15" s="1650"/>
      <c r="C15" s="1529"/>
      <c r="D15" s="1646"/>
      <c r="E15" s="595"/>
      <c r="F15" s="572"/>
      <c r="G15" s="596"/>
      <c r="H15" s="581"/>
      <c r="I15" s="597"/>
      <c r="J15" s="374"/>
      <c r="K15" s="374"/>
      <c r="L15" s="1080">
        <f t="shared" si="0"/>
        <v>0</v>
      </c>
      <c r="N15" s="322"/>
      <c r="O15" s="322"/>
      <c r="P15" s="322"/>
      <c r="Q15" s="322"/>
      <c r="R15" s="322"/>
      <c r="S15" s="322"/>
      <c r="T15" s="322"/>
      <c r="U15" s="322"/>
      <c r="V15" s="322"/>
    </row>
    <row r="16" spans="1:22" ht="21" customHeight="1">
      <c r="A16" s="1576" t="s">
        <v>557</v>
      </c>
      <c r="B16" s="1529"/>
      <c r="C16" s="1529"/>
      <c r="D16" s="1646"/>
      <c r="E16" s="595"/>
      <c r="F16" s="572"/>
      <c r="G16" s="581"/>
      <c r="H16" s="581"/>
      <c r="I16" s="374"/>
      <c r="J16" s="374"/>
      <c r="K16" s="374"/>
      <c r="L16" s="1080">
        <f t="shared" si="0"/>
        <v>0</v>
      </c>
      <c r="N16" s="322"/>
      <c r="O16" s="322"/>
      <c r="P16" s="322"/>
      <c r="Q16" s="322"/>
      <c r="R16" s="322"/>
      <c r="S16" s="322"/>
      <c r="T16" s="322"/>
      <c r="U16" s="322"/>
      <c r="V16" s="322"/>
    </row>
    <row r="17" spans="1:22" ht="21" customHeight="1">
      <c r="A17" s="1576"/>
      <c r="B17" s="1529"/>
      <c r="C17" s="1529"/>
      <c r="D17" s="1646"/>
      <c r="E17" s="595"/>
      <c r="F17" s="572"/>
      <c r="G17" s="581"/>
      <c r="H17" s="581"/>
      <c r="I17" s="374"/>
      <c r="J17" s="374"/>
      <c r="K17" s="374"/>
      <c r="L17" s="1080">
        <f t="shared" si="0"/>
        <v>0</v>
      </c>
      <c r="N17" s="322"/>
      <c r="O17" s="322"/>
      <c r="P17" s="322"/>
      <c r="Q17" s="322"/>
      <c r="R17" s="322"/>
      <c r="S17" s="322"/>
      <c r="T17" s="322"/>
      <c r="U17" s="322"/>
      <c r="V17" s="322"/>
    </row>
    <row r="18" spans="1:22" ht="21" customHeight="1">
      <c r="A18" s="1576"/>
      <c r="B18" s="1529"/>
      <c r="C18" s="1529"/>
      <c r="D18" s="1646"/>
      <c r="E18" s="595"/>
      <c r="F18" s="572"/>
      <c r="G18" s="581"/>
      <c r="H18" s="581"/>
      <c r="I18" s="374"/>
      <c r="J18" s="374"/>
      <c r="K18" s="374"/>
      <c r="L18" s="1080">
        <f t="shared" si="0"/>
        <v>0</v>
      </c>
      <c r="N18" s="322"/>
      <c r="O18" s="322"/>
      <c r="P18" s="322"/>
      <c r="Q18" s="322"/>
      <c r="R18" s="322"/>
      <c r="S18" s="322"/>
      <c r="T18" s="322"/>
      <c r="U18" s="322"/>
      <c r="V18" s="322"/>
    </row>
    <row r="19" spans="1:22" ht="21" customHeight="1">
      <c r="B19" s="1529"/>
      <c r="C19" s="1529"/>
      <c r="D19" s="1646"/>
      <c r="E19" s="595"/>
      <c r="F19" s="572"/>
      <c r="G19" s="581"/>
      <c r="H19" s="581"/>
      <c r="I19" s="374"/>
      <c r="J19" s="374"/>
      <c r="K19" s="374"/>
      <c r="L19" s="1080">
        <f t="shared" si="0"/>
        <v>0</v>
      </c>
      <c r="N19" s="322"/>
      <c r="O19" s="322"/>
      <c r="P19" s="322"/>
      <c r="Q19" s="322"/>
      <c r="R19" s="322"/>
      <c r="S19" s="322"/>
      <c r="T19" s="322"/>
      <c r="U19" s="322"/>
      <c r="V19" s="322"/>
    </row>
    <row r="20" spans="1:22" ht="21" customHeight="1">
      <c r="B20" s="1529"/>
      <c r="C20" s="1529"/>
      <c r="D20" s="1646"/>
      <c r="E20" s="595"/>
      <c r="F20" s="572"/>
      <c r="G20" s="581"/>
      <c r="H20" s="581"/>
      <c r="I20" s="374"/>
      <c r="J20" s="374"/>
      <c r="K20" s="374"/>
      <c r="L20" s="1080">
        <f t="shared" si="0"/>
        <v>0</v>
      </c>
      <c r="N20" s="322"/>
      <c r="O20" s="322"/>
      <c r="P20" s="322"/>
      <c r="Q20" s="322"/>
      <c r="R20" s="322"/>
      <c r="S20" s="322"/>
      <c r="T20" s="322"/>
      <c r="U20" s="322"/>
      <c r="V20" s="322"/>
    </row>
    <row r="21" spans="1:22" ht="21" customHeight="1" thickBot="1">
      <c r="B21" s="42"/>
      <c r="C21" s="42"/>
      <c r="D21" s="42"/>
      <c r="E21" s="42"/>
      <c r="F21" s="899" t="s">
        <v>806</v>
      </c>
      <c r="G21" s="1023">
        <f t="shared" ref="G21:L21" si="1">SUM(G10:G20)</f>
        <v>350000</v>
      </c>
      <c r="H21" s="1023">
        <f t="shared" si="1"/>
        <v>70000</v>
      </c>
      <c r="I21" s="1023">
        <f t="shared" si="1"/>
        <v>280000</v>
      </c>
      <c r="J21" s="1023">
        <f t="shared" si="1"/>
        <v>70000</v>
      </c>
      <c r="K21" s="1023">
        <f t="shared" si="1"/>
        <v>0</v>
      </c>
      <c r="L21" s="864">
        <f t="shared" si="1"/>
        <v>210000</v>
      </c>
      <c r="N21" s="322"/>
      <c r="O21" s="322"/>
      <c r="P21" s="322"/>
      <c r="Q21" s="322"/>
      <c r="R21" s="322"/>
      <c r="S21" s="322"/>
      <c r="T21" s="322"/>
      <c r="U21" s="322"/>
      <c r="V21" s="322"/>
    </row>
    <row r="22" spans="1:22" ht="12.75" customHeight="1" thickTop="1">
      <c r="B22" s="42"/>
      <c r="C22" s="42"/>
      <c r="D22" s="42"/>
      <c r="E22" s="42"/>
      <c r="F22" s="1065"/>
      <c r="G22" s="1065"/>
      <c r="H22" s="1065"/>
      <c r="I22" s="1081" t="s">
        <v>564</v>
      </c>
      <c r="J22" s="1081" t="s">
        <v>565</v>
      </c>
      <c r="K22" s="1065"/>
      <c r="L22" s="1065"/>
      <c r="N22" s="322"/>
      <c r="O22" s="322"/>
      <c r="P22" s="322"/>
      <c r="Q22" s="322"/>
      <c r="R22" s="322"/>
      <c r="S22" s="322"/>
      <c r="T22" s="322"/>
      <c r="U22" s="322"/>
      <c r="V22" s="322"/>
    </row>
    <row r="23" spans="1:22" ht="12.75" customHeight="1">
      <c r="B23" s="42"/>
      <c r="C23" s="42"/>
      <c r="D23" s="42"/>
      <c r="E23" s="42"/>
      <c r="F23" s="1065"/>
      <c r="G23" s="1065"/>
      <c r="H23" s="1065"/>
      <c r="I23" s="1081"/>
      <c r="J23" s="1081"/>
      <c r="K23" s="1065"/>
      <c r="L23" s="1065"/>
      <c r="N23" s="322"/>
      <c r="O23" s="322"/>
      <c r="P23" s="322"/>
      <c r="Q23" s="322"/>
      <c r="R23" s="322"/>
      <c r="S23" s="322"/>
      <c r="T23" s="322"/>
      <c r="U23" s="322"/>
      <c r="V23" s="322"/>
    </row>
    <row r="24" spans="1:22" ht="12.75" customHeight="1">
      <c r="B24" s="42"/>
      <c r="C24" s="42"/>
      <c r="D24" s="42"/>
      <c r="E24" s="42"/>
      <c r="F24" s="1065"/>
      <c r="G24" s="1065"/>
      <c r="H24" s="1065"/>
      <c r="I24" s="1081"/>
      <c r="J24" s="1081"/>
      <c r="K24" s="1065"/>
      <c r="L24" s="1065"/>
      <c r="N24" s="322"/>
      <c r="O24" s="322"/>
      <c r="P24" s="322"/>
      <c r="Q24" s="322"/>
      <c r="R24" s="322"/>
      <c r="S24" s="322"/>
      <c r="T24" s="322"/>
      <c r="U24" s="322"/>
      <c r="V24" s="322"/>
    </row>
    <row r="25" spans="1:22">
      <c r="B25" s="1065" t="s">
        <v>569</v>
      </c>
      <c r="C25" s="1065"/>
      <c r="D25" s="1065"/>
      <c r="E25" s="1065"/>
      <c r="F25" s="1065"/>
      <c r="G25" s="1065"/>
      <c r="H25" s="1065"/>
      <c r="I25" s="1065"/>
      <c r="J25" s="1065"/>
      <c r="K25" s="1065"/>
      <c r="L25" s="1065"/>
      <c r="N25" s="322"/>
      <c r="O25" s="322"/>
      <c r="P25" s="322"/>
      <c r="Q25" s="322"/>
      <c r="R25" s="322"/>
      <c r="S25" s="322"/>
      <c r="T25" s="322"/>
      <c r="U25" s="322"/>
      <c r="V25" s="322"/>
    </row>
    <row r="26" spans="1:22" ht="13.5" customHeight="1">
      <c r="B26" s="1065" t="s">
        <v>152</v>
      </c>
      <c r="C26" s="1065"/>
      <c r="D26" s="1065"/>
      <c r="E26" s="1065"/>
      <c r="F26" s="42"/>
      <c r="G26" s="42"/>
      <c r="H26" s="42"/>
      <c r="I26" s="42"/>
      <c r="J26" s="42"/>
      <c r="K26" s="42"/>
      <c r="L26" s="42"/>
    </row>
    <row r="27" spans="1:22" ht="13.5" customHeight="1">
      <c r="B27" s="34"/>
      <c r="J27" s="1533"/>
      <c r="K27" s="1533"/>
    </row>
    <row r="28" spans="1:22">
      <c r="B28" s="855"/>
      <c r="C28" s="855"/>
      <c r="D28" s="855"/>
      <c r="E28" s="855"/>
      <c r="F28" s="855"/>
      <c r="G28" s="855"/>
      <c r="H28" s="855"/>
      <c r="I28" s="855"/>
      <c r="J28" s="1643" t="s">
        <v>153</v>
      </c>
      <c r="K28" s="1643"/>
    </row>
    <row r="29" spans="1:22">
      <c r="B29" s="855"/>
      <c r="C29" s="855"/>
      <c r="D29" s="855"/>
      <c r="E29" s="855"/>
      <c r="F29" s="855"/>
      <c r="G29" s="855"/>
      <c r="H29" s="855"/>
      <c r="I29" s="855"/>
      <c r="J29" s="855"/>
      <c r="K29" s="855"/>
    </row>
    <row r="30" spans="1:22">
      <c r="B30" s="855"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5"/>
      <c r="D30" s="855"/>
      <c r="E30" s="855"/>
      <c r="F30" s="855"/>
      <c r="G30" s="855"/>
      <c r="H30" s="855"/>
      <c r="I30" s="855"/>
      <c r="J30" s="855"/>
      <c r="K30" s="855"/>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8"/>
  <dimension ref="A1:W30"/>
  <sheetViews>
    <sheetView workbookViewId="0">
      <selection activeCell="B1" sqref="B1"/>
    </sheetView>
  </sheetViews>
  <sheetFormatPr defaultRowHeight="13.2"/>
  <cols>
    <col min="1" max="1" width="5.6640625" customWidth="1"/>
    <col min="2" max="4" width="4.88671875" customWidth="1"/>
    <col min="5" max="5" width="46.6640625" customWidth="1"/>
    <col min="6" max="6" width="7.6640625" customWidth="1"/>
    <col min="7" max="8" width="16.6640625" customWidth="1"/>
    <col min="9" max="12" width="15.6640625" customWidth="1"/>
  </cols>
  <sheetData>
    <row r="1" spans="1:23" s="855" customFormat="1"/>
    <row r="2" spans="1:23" s="855" customFormat="1" ht="18">
      <c r="B2" s="1074"/>
      <c r="C2" s="1074" t="s">
        <v>158</v>
      </c>
    </row>
    <row r="3" spans="1:23" s="855" customFormat="1" ht="18">
      <c r="B3" s="1074"/>
      <c r="C3" s="1074" t="s">
        <v>159</v>
      </c>
    </row>
    <row r="4" spans="1:23" s="855" customFormat="1"/>
    <row r="5" spans="1:23" s="855" customFormat="1" ht="13.8" thickBot="1"/>
    <row r="6" spans="1:23" s="855" customFormat="1" ht="13.8" thickTop="1">
      <c r="B6" s="888"/>
      <c r="C6" s="888"/>
      <c r="D6" s="888"/>
      <c r="E6" s="1075"/>
      <c r="F6" s="888"/>
      <c r="G6" s="889"/>
      <c r="H6" s="1076"/>
      <c r="I6" s="889"/>
      <c r="J6" s="888"/>
      <c r="K6" s="888"/>
      <c r="L6" s="865"/>
    </row>
    <row r="7" spans="1:23" s="855" customFormat="1" ht="15.6">
      <c r="B7" s="1596" t="s">
        <v>18</v>
      </c>
      <c r="C7" s="1596"/>
      <c r="D7" s="1596"/>
      <c r="E7" s="1647" t="s">
        <v>532</v>
      </c>
      <c r="F7" s="1597"/>
      <c r="G7" s="891" t="s">
        <v>533</v>
      </c>
      <c r="H7" s="997" t="s">
        <v>561</v>
      </c>
      <c r="I7" s="891" t="s">
        <v>672</v>
      </c>
      <c r="J7" s="1644" t="str">
        <f>'29-Special Emergency'!J7:K7</f>
        <v>REDUCED  IN  2019</v>
      </c>
      <c r="K7" s="1645"/>
      <c r="L7" s="866" t="s">
        <v>672</v>
      </c>
    </row>
    <row r="8" spans="1:23" s="855" customFormat="1">
      <c r="E8" s="1077"/>
      <c r="G8" s="891" t="s">
        <v>560</v>
      </c>
      <c r="H8" s="997" t="s">
        <v>155</v>
      </c>
      <c r="I8" s="894" t="str">
        <f>'29-Special Emergency'!I8</f>
        <v>Dec. 31, 2018</v>
      </c>
      <c r="J8" s="891" t="str">
        <f>'29-Special Emergency'!J8</f>
        <v>By 2019</v>
      </c>
      <c r="K8" s="891" t="s">
        <v>558</v>
      </c>
      <c r="L8" s="867" t="str">
        <f>'29-Special Emergency'!L8</f>
        <v>Dec. 31, 2019</v>
      </c>
    </row>
    <row r="9" spans="1:23" s="855" customFormat="1" ht="13.8" thickBot="1">
      <c r="B9" s="897"/>
      <c r="C9" s="897"/>
      <c r="D9" s="897"/>
      <c r="E9" s="900"/>
      <c r="F9" s="897"/>
      <c r="G9" s="899"/>
      <c r="H9" s="1078" t="s">
        <v>563</v>
      </c>
      <c r="I9" s="898"/>
      <c r="J9" s="899" t="s">
        <v>677</v>
      </c>
      <c r="K9" s="899" t="s">
        <v>559</v>
      </c>
      <c r="L9" s="868"/>
    </row>
    <row r="10" spans="1:23" ht="21" customHeight="1" thickTop="1">
      <c r="B10" s="1648"/>
      <c r="C10" s="1648"/>
      <c r="D10" s="1649"/>
      <c r="E10" s="592"/>
      <c r="F10" s="570"/>
      <c r="G10" s="598"/>
      <c r="H10" s="598"/>
      <c r="I10" s="599"/>
      <c r="J10" s="599"/>
      <c r="K10" s="599"/>
      <c r="L10" s="1082">
        <f>+I10-J10-K10</f>
        <v>0</v>
      </c>
      <c r="O10" s="322"/>
      <c r="P10" s="322"/>
      <c r="Q10" s="322"/>
      <c r="R10" s="322"/>
      <c r="S10" s="322"/>
      <c r="T10" s="322"/>
      <c r="U10" s="322"/>
      <c r="V10" s="322"/>
      <c r="W10" s="322"/>
    </row>
    <row r="11" spans="1:23" ht="21" customHeight="1">
      <c r="B11" s="1529"/>
      <c r="C11" s="1529"/>
      <c r="D11" s="1646"/>
      <c r="E11" s="595"/>
      <c r="F11" s="572"/>
      <c r="G11" s="600"/>
      <c r="H11" s="600"/>
      <c r="I11" s="601"/>
      <c r="J11" s="601"/>
      <c r="K11" s="601"/>
      <c r="L11" s="1083">
        <f>+I11-J11-K11</f>
        <v>0</v>
      </c>
      <c r="O11" s="322"/>
      <c r="P11" s="322"/>
      <c r="Q11" s="322"/>
      <c r="R11" s="322"/>
      <c r="S11" s="322"/>
      <c r="T11" s="322"/>
      <c r="U11" s="322"/>
      <c r="V11" s="322"/>
      <c r="W11" s="322"/>
    </row>
    <row r="12" spans="1:23" ht="21" customHeight="1">
      <c r="B12" s="1529"/>
      <c r="C12" s="1529"/>
      <c r="D12" s="1646"/>
      <c r="E12" s="595"/>
      <c r="F12" s="572"/>
      <c r="G12" s="600"/>
      <c r="H12" s="600"/>
      <c r="I12" s="601"/>
      <c r="J12" s="601"/>
      <c r="K12" s="601"/>
      <c r="L12" s="1083">
        <f t="shared" ref="L12:L20" si="0">+I12-J12-K12</f>
        <v>0</v>
      </c>
      <c r="O12" s="322"/>
      <c r="P12" s="322"/>
      <c r="Q12" s="322"/>
      <c r="R12" s="322"/>
      <c r="S12" s="322"/>
      <c r="T12" s="322"/>
      <c r="U12" s="322"/>
      <c r="V12" s="322"/>
      <c r="W12" s="322"/>
    </row>
    <row r="13" spans="1:23" ht="21" customHeight="1">
      <c r="B13" s="1529"/>
      <c r="C13" s="1529"/>
      <c r="D13" s="1646"/>
      <c r="E13" s="595"/>
      <c r="F13" s="572"/>
      <c r="G13" s="600"/>
      <c r="H13" s="600"/>
      <c r="I13" s="601"/>
      <c r="J13" s="601"/>
      <c r="K13" s="601"/>
      <c r="L13" s="1083">
        <f t="shared" si="0"/>
        <v>0</v>
      </c>
      <c r="O13" s="322"/>
      <c r="P13" s="322"/>
      <c r="Q13" s="322"/>
      <c r="R13" s="322"/>
      <c r="S13" s="322"/>
      <c r="T13" s="322"/>
      <c r="U13" s="322"/>
      <c r="V13" s="322"/>
      <c r="W13" s="322"/>
    </row>
    <row r="14" spans="1:23" ht="21" customHeight="1">
      <c r="B14" s="1529"/>
      <c r="C14" s="1529"/>
      <c r="D14" s="1646"/>
      <c r="E14" s="595"/>
      <c r="F14" s="572"/>
      <c r="G14" s="600"/>
      <c r="H14" s="600"/>
      <c r="I14" s="601"/>
      <c r="J14" s="601"/>
      <c r="K14" s="601"/>
      <c r="L14" s="1083">
        <f t="shared" si="0"/>
        <v>0</v>
      </c>
      <c r="O14" s="322"/>
      <c r="P14" s="322"/>
      <c r="Q14" s="322"/>
      <c r="R14" s="322"/>
      <c r="S14" s="322"/>
      <c r="T14" s="322"/>
      <c r="U14" s="322"/>
      <c r="V14" s="322"/>
      <c r="W14" s="322"/>
    </row>
    <row r="15" spans="1:23" ht="21" customHeight="1">
      <c r="B15" s="1529"/>
      <c r="C15" s="1529"/>
      <c r="D15" s="1646"/>
      <c r="E15" s="595"/>
      <c r="F15" s="572"/>
      <c r="G15" s="603"/>
      <c r="H15" s="603"/>
      <c r="I15" s="604"/>
      <c r="J15" s="601"/>
      <c r="K15" s="601"/>
      <c r="L15" s="1083">
        <f t="shared" si="0"/>
        <v>0</v>
      </c>
      <c r="O15" s="322"/>
      <c r="P15" s="322"/>
      <c r="Q15" s="322"/>
      <c r="R15" s="322"/>
      <c r="S15" s="322"/>
      <c r="T15" s="322"/>
      <c r="U15" s="322"/>
      <c r="V15" s="322"/>
      <c r="W15" s="322"/>
    </row>
    <row r="16" spans="1:23" ht="21" customHeight="1">
      <c r="A16" s="1576" t="s">
        <v>154</v>
      </c>
      <c r="B16" s="1529"/>
      <c r="C16" s="1529"/>
      <c r="D16" s="1646"/>
      <c r="E16" s="595"/>
      <c r="F16" s="572"/>
      <c r="G16" s="600"/>
      <c r="H16" s="600"/>
      <c r="I16" s="601"/>
      <c r="J16" s="601"/>
      <c r="K16" s="601"/>
      <c r="L16" s="1083">
        <f t="shared" si="0"/>
        <v>0</v>
      </c>
      <c r="O16" s="322"/>
      <c r="P16" s="377"/>
      <c r="Q16" s="322"/>
      <c r="R16" s="322"/>
      <c r="S16" s="322"/>
      <c r="T16" s="322"/>
      <c r="U16" s="322"/>
      <c r="V16" s="322"/>
      <c r="W16" s="322"/>
    </row>
    <row r="17" spans="1:23" ht="21" customHeight="1">
      <c r="A17" s="1576"/>
      <c r="B17" s="1529"/>
      <c r="C17" s="1529"/>
      <c r="D17" s="1646"/>
      <c r="E17" s="595"/>
      <c r="F17" s="572"/>
      <c r="G17" s="600"/>
      <c r="H17" s="600"/>
      <c r="I17" s="601"/>
      <c r="J17" s="601"/>
      <c r="K17" s="601"/>
      <c r="L17" s="1083">
        <f t="shared" si="0"/>
        <v>0</v>
      </c>
      <c r="O17" s="322"/>
      <c r="P17" s="322"/>
      <c r="Q17" s="322"/>
      <c r="R17" s="322"/>
      <c r="S17" s="322"/>
      <c r="T17" s="322"/>
      <c r="U17" s="322"/>
      <c r="V17" s="322"/>
      <c r="W17" s="322"/>
    </row>
    <row r="18" spans="1:23" ht="21" customHeight="1">
      <c r="A18" s="1576"/>
      <c r="B18" s="1529"/>
      <c r="C18" s="1529"/>
      <c r="D18" s="1646"/>
      <c r="E18" s="595"/>
      <c r="F18" s="572"/>
      <c r="G18" s="600"/>
      <c r="H18" s="600"/>
      <c r="I18" s="601"/>
      <c r="J18" s="601"/>
      <c r="K18" s="601"/>
      <c r="L18" s="1083">
        <f t="shared" si="0"/>
        <v>0</v>
      </c>
      <c r="O18" s="322"/>
      <c r="P18" s="322"/>
      <c r="Q18" s="322"/>
      <c r="R18" s="322"/>
      <c r="S18" s="322"/>
      <c r="T18" s="322"/>
      <c r="U18" s="322"/>
      <c r="V18" s="322"/>
      <c r="W18" s="322"/>
    </row>
    <row r="19" spans="1:23" ht="21" customHeight="1">
      <c r="B19" s="1529"/>
      <c r="C19" s="1529"/>
      <c r="D19" s="1646"/>
      <c r="E19" s="595"/>
      <c r="F19" s="572"/>
      <c r="G19" s="600"/>
      <c r="H19" s="600"/>
      <c r="I19" s="601"/>
      <c r="J19" s="601"/>
      <c r="K19" s="601"/>
      <c r="L19" s="1083">
        <f t="shared" si="0"/>
        <v>0</v>
      </c>
      <c r="O19" s="322"/>
      <c r="P19" s="322"/>
      <c r="Q19" s="322"/>
      <c r="R19" s="322"/>
      <c r="S19" s="322"/>
      <c r="T19" s="322"/>
      <c r="U19" s="322"/>
      <c r="V19" s="322"/>
      <c r="W19" s="322"/>
    </row>
    <row r="20" spans="1:23" ht="21" customHeight="1">
      <c r="B20" s="1529"/>
      <c r="C20" s="1529"/>
      <c r="D20" s="1646"/>
      <c r="E20" s="595"/>
      <c r="F20" s="572"/>
      <c r="G20" s="600"/>
      <c r="H20" s="600"/>
      <c r="I20" s="601"/>
      <c r="J20" s="601"/>
      <c r="K20" s="601"/>
      <c r="L20" s="1083">
        <f t="shared" si="0"/>
        <v>0</v>
      </c>
      <c r="O20" s="322"/>
      <c r="P20" s="322"/>
      <c r="Q20" s="322"/>
      <c r="R20" s="322"/>
      <c r="S20" s="322"/>
      <c r="T20" s="322"/>
      <c r="U20" s="322"/>
      <c r="V20" s="322"/>
      <c r="W20" s="322"/>
    </row>
    <row r="21" spans="1:23" s="855" customFormat="1" ht="21" customHeight="1" thickBot="1">
      <c r="B21" s="1065"/>
      <c r="C21" s="1065"/>
      <c r="D21" s="1065"/>
      <c r="E21" s="1065"/>
      <c r="F21" s="899" t="s">
        <v>806</v>
      </c>
      <c r="G21" s="1085">
        <f t="shared" ref="G21:L21" si="1">SUM(G10:G20)</f>
        <v>0</v>
      </c>
      <c r="H21" s="1085">
        <f t="shared" si="1"/>
        <v>0</v>
      </c>
      <c r="I21" s="1085">
        <f t="shared" si="1"/>
        <v>0</v>
      </c>
      <c r="J21" s="1085">
        <f t="shared" si="1"/>
        <v>0</v>
      </c>
      <c r="K21" s="1085">
        <f t="shared" si="1"/>
        <v>0</v>
      </c>
      <c r="L21" s="1084">
        <f t="shared" si="1"/>
        <v>0</v>
      </c>
    </row>
    <row r="22" spans="1:23" s="855" customFormat="1" ht="12.75" customHeight="1" thickTop="1">
      <c r="B22" s="1065"/>
      <c r="C22" s="1065"/>
      <c r="D22" s="1065"/>
      <c r="E22" s="1065"/>
      <c r="F22" s="1065"/>
      <c r="G22" s="1065"/>
      <c r="H22" s="1065"/>
      <c r="I22" s="1081" t="s">
        <v>156</v>
      </c>
      <c r="J22" s="1081" t="s">
        <v>157</v>
      </c>
      <c r="K22" s="1065"/>
      <c r="L22" s="1065"/>
    </row>
    <row r="23" spans="1:23" s="855" customFormat="1" ht="12.75" customHeight="1">
      <c r="B23" s="1065"/>
      <c r="C23" s="1065"/>
      <c r="D23" s="1065"/>
      <c r="E23" s="1065"/>
      <c r="F23" s="1065"/>
      <c r="G23" s="1065"/>
      <c r="H23" s="1065"/>
      <c r="I23" s="1081"/>
      <c r="J23" s="1081"/>
      <c r="K23" s="1065"/>
      <c r="L23" s="1065"/>
    </row>
    <row r="24" spans="1:23" s="855" customFormat="1" ht="12.75" customHeight="1">
      <c r="B24" s="1065"/>
      <c r="C24" s="1065"/>
      <c r="D24" s="1065"/>
      <c r="E24" s="1065"/>
      <c r="F24" s="1065"/>
      <c r="G24" s="1065"/>
      <c r="H24" s="1065"/>
      <c r="I24" s="1081"/>
      <c r="J24" s="1081"/>
      <c r="K24" s="1065"/>
      <c r="L24" s="1065"/>
    </row>
    <row r="25" spans="1:23" s="855" customFormat="1">
      <c r="B25" s="1065" t="s">
        <v>567</v>
      </c>
      <c r="C25" s="1065"/>
      <c r="D25" s="1065"/>
      <c r="E25" s="1065"/>
      <c r="F25" s="1065"/>
      <c r="G25" s="1065"/>
      <c r="H25" s="1065"/>
      <c r="I25" s="1065"/>
      <c r="J25" s="1065"/>
      <c r="K25" s="1065"/>
      <c r="L25" s="1065"/>
    </row>
    <row r="26" spans="1:23" s="855" customFormat="1" ht="13.5" customHeight="1">
      <c r="B26" s="1065" t="s">
        <v>317</v>
      </c>
      <c r="C26" s="1065"/>
      <c r="D26" s="1065"/>
      <c r="E26" s="1065"/>
      <c r="F26" s="1065"/>
      <c r="G26" s="1065"/>
      <c r="H26" s="1065"/>
      <c r="I26" s="1065"/>
      <c r="J26" s="1065"/>
      <c r="K26" s="1065"/>
      <c r="L26" s="1065"/>
    </row>
    <row r="27" spans="1:23" ht="13.5" customHeight="1">
      <c r="B27" s="34"/>
      <c r="J27" s="1533"/>
      <c r="K27" s="1533"/>
      <c r="O27" s="322"/>
      <c r="P27" s="322"/>
      <c r="Q27" s="322"/>
      <c r="R27" s="322"/>
      <c r="S27" s="322"/>
      <c r="T27" s="322"/>
      <c r="U27" s="322"/>
      <c r="V27" s="322"/>
      <c r="W27" s="322"/>
    </row>
    <row r="28" spans="1:23" s="855" customFormat="1">
      <c r="J28" s="1643" t="s">
        <v>153</v>
      </c>
      <c r="K28" s="1643"/>
    </row>
    <row r="29" spans="1:23" s="855" customFormat="1"/>
    <row r="30" spans="1:23" s="855" customFormat="1">
      <c r="B30" s="855"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3:R46"/>
  <sheetViews>
    <sheetView topLeftCell="A31" workbookViewId="0">
      <selection activeCell="K59" sqref="K59"/>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s>
  <sheetData>
    <row r="3" spans="2:18" ht="22.8">
      <c r="B3" s="1548" t="s">
        <v>543</v>
      </c>
      <c r="C3" s="1548"/>
      <c r="D3" s="1548"/>
      <c r="E3" s="1548"/>
      <c r="F3" s="1548"/>
      <c r="G3" s="1548"/>
      <c r="H3" s="1548"/>
    </row>
    <row r="4" spans="2:18" ht="22.8">
      <c r="B4" s="1548" t="s">
        <v>131</v>
      </c>
      <c r="C4" s="1548"/>
      <c r="D4" s="1548"/>
      <c r="E4" s="1548"/>
      <c r="F4" s="1548"/>
      <c r="G4" s="1548"/>
      <c r="H4" s="1548"/>
    </row>
    <row r="5" spans="2:18" ht="15.6">
      <c r="B5" s="1509" t="s">
        <v>779</v>
      </c>
      <c r="C5" s="1509"/>
      <c r="D5" s="1509"/>
      <c r="E5" s="1509"/>
      <c r="F5" s="1509"/>
      <c r="G5" s="1509"/>
      <c r="H5" s="1509"/>
    </row>
    <row r="6" spans="2:18" ht="15.6">
      <c r="B6" s="1555" t="str">
        <f>'KEY INPUTS'!D44</f>
        <v>AS  AT  DECEMBER  31, 2019</v>
      </c>
      <c r="C6" s="1509"/>
      <c r="D6" s="1509"/>
      <c r="E6" s="1509"/>
      <c r="F6" s="1509"/>
      <c r="G6" s="1509"/>
      <c r="H6" s="1509"/>
    </row>
    <row r="7" spans="2:18" ht="13.8" thickBot="1"/>
    <row r="8" spans="2:18" ht="36" customHeight="1" thickTop="1" thickBot="1">
      <c r="B8" s="1552" t="s">
        <v>124</v>
      </c>
      <c r="C8" s="1552"/>
      <c r="D8" s="1552"/>
      <c r="E8" s="1552"/>
      <c r="F8" s="1553"/>
      <c r="G8" s="4" t="s">
        <v>125</v>
      </c>
      <c r="H8" s="818" t="s">
        <v>126</v>
      </c>
      <c r="K8" s="322"/>
      <c r="L8" s="322"/>
      <c r="M8" s="322"/>
      <c r="N8" s="322"/>
      <c r="O8" s="322"/>
      <c r="P8" s="322"/>
      <c r="Q8" s="322"/>
      <c r="R8" s="322"/>
    </row>
    <row r="9" spans="2:18" ht="21" customHeight="1" thickTop="1">
      <c r="B9" s="397"/>
      <c r="C9" s="397"/>
      <c r="D9" s="397"/>
      <c r="E9" s="397"/>
      <c r="F9" s="397"/>
      <c r="G9" s="663"/>
      <c r="H9" s="661"/>
      <c r="K9" s="322"/>
      <c r="L9" s="322"/>
      <c r="M9" s="322"/>
      <c r="N9" s="322"/>
      <c r="O9" s="322"/>
      <c r="P9" s="322"/>
      <c r="Q9" s="322"/>
      <c r="R9" s="322"/>
    </row>
    <row r="10" spans="2:18" ht="21" customHeight="1">
      <c r="B10" s="566"/>
      <c r="C10" s="566"/>
      <c r="D10" s="566"/>
      <c r="E10" s="566"/>
      <c r="F10" s="566"/>
      <c r="G10" s="374"/>
      <c r="H10" s="578"/>
      <c r="K10" s="377"/>
      <c r="L10" s="322"/>
      <c r="M10" s="322"/>
      <c r="N10" s="322"/>
      <c r="O10" s="322"/>
      <c r="P10" s="322"/>
      <c r="Q10" s="322"/>
      <c r="R10" s="322"/>
    </row>
    <row r="11" spans="2:18" ht="21" customHeight="1">
      <c r="B11" s="566"/>
      <c r="C11" s="566"/>
      <c r="D11" s="566"/>
      <c r="E11" s="566"/>
      <c r="F11" s="566"/>
      <c r="G11" s="374"/>
      <c r="H11" s="578"/>
      <c r="I11" s="228"/>
      <c r="K11" s="322"/>
      <c r="L11" s="322"/>
      <c r="M11" s="322"/>
      <c r="N11" s="322"/>
      <c r="O11" s="322"/>
      <c r="P11" s="322"/>
      <c r="Q11" s="322"/>
      <c r="R11" s="322"/>
    </row>
    <row r="12" spans="2:18" ht="21" customHeight="1">
      <c r="B12" s="566"/>
      <c r="C12" s="566"/>
      <c r="D12" s="566"/>
      <c r="E12" s="566"/>
      <c r="F12" s="566"/>
      <c r="G12" s="374"/>
      <c r="H12" s="578"/>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1001</v>
      </c>
      <c r="E40" s="323"/>
      <c r="F40" s="323"/>
      <c r="G40" s="240">
        <f>SUM(G9:G39)</f>
        <v>0</v>
      </c>
      <c r="H40" s="241">
        <f>SUM(H9:H39)</f>
        <v>0</v>
      </c>
    </row>
    <row r="41" spans="2:8" ht="13.8" thickTop="1">
      <c r="B41" s="1511" t="s">
        <v>127</v>
      </c>
      <c r="C41" s="1511"/>
      <c r="D41" s="1511"/>
      <c r="E41" s="1511"/>
      <c r="F41" s="1511"/>
      <c r="G41" s="1511"/>
      <c r="H41" s="1511"/>
    </row>
    <row r="42" spans="2:8">
      <c r="B42" s="8" t="s">
        <v>133</v>
      </c>
      <c r="C42" s="9"/>
      <c r="D42" s="1"/>
      <c r="E42" s="1"/>
      <c r="F42" s="1"/>
      <c r="G42" s="1"/>
      <c r="H42" s="1"/>
    </row>
    <row r="43" spans="2:8">
      <c r="B43" s="9"/>
      <c r="C43" s="8" t="s">
        <v>780</v>
      </c>
      <c r="D43" s="1"/>
      <c r="E43" s="1"/>
      <c r="F43" s="1"/>
      <c r="G43" s="1"/>
      <c r="H43" s="1"/>
    </row>
    <row r="44" spans="2:8">
      <c r="B44" s="9"/>
      <c r="C44" s="8"/>
      <c r="D44" s="1"/>
      <c r="E44" s="1"/>
      <c r="F44" s="1"/>
      <c r="G44" s="1"/>
      <c r="H44" s="1"/>
    </row>
    <row r="45" spans="2:8">
      <c r="B45" s="1"/>
      <c r="C45" s="1"/>
      <c r="D45" s="1"/>
      <c r="E45" s="1"/>
      <c r="F45" s="1"/>
      <c r="G45" s="1"/>
      <c r="H45" s="1"/>
    </row>
    <row r="46" spans="2:8" ht="13.8">
      <c r="B46" s="1507" t="s">
        <v>132</v>
      </c>
      <c r="C46" s="1507"/>
      <c r="D46" s="1507"/>
      <c r="E46" s="1507"/>
      <c r="F46" s="1507"/>
      <c r="G46" s="1507"/>
      <c r="H46" s="1507"/>
    </row>
  </sheetData>
  <sheetProtection password="CAF9"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9"/>
  <dimension ref="B2:AE47"/>
  <sheetViews>
    <sheetView topLeftCell="A25" zoomScaleNormal="100" workbookViewId="0">
      <selection activeCell="Q12" sqref="Q12"/>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4" ht="20.399999999999999">
      <c r="B2" s="1508" t="s">
        <v>160</v>
      </c>
      <c r="C2" s="1508"/>
      <c r="D2" s="1508"/>
      <c r="E2" s="1508"/>
      <c r="F2" s="1508"/>
      <c r="G2" s="1508"/>
      <c r="H2" s="1508"/>
      <c r="I2" s="1508"/>
      <c r="J2" s="1508"/>
      <c r="K2" s="1508"/>
      <c r="L2" s="1508"/>
    </row>
    <row r="3" spans="2:24" ht="20.399999999999999">
      <c r="B3" s="1508" t="str">
        <f>" AND "&amp;TEXT('KEY INPUTS'!D33,"0")&amp;" DEBT  SERVICE  FOR  BONDS"</f>
        <v xml:space="preserve"> AND 2020 DEBT  SERVICE  FOR  BONDS</v>
      </c>
      <c r="C3" s="1508"/>
      <c r="D3" s="1508"/>
      <c r="E3" s="1508"/>
      <c r="F3" s="1508"/>
      <c r="G3" s="1508"/>
      <c r="H3" s="1508"/>
      <c r="I3" s="1508"/>
      <c r="J3" s="1508"/>
      <c r="K3" s="1508"/>
      <c r="L3" s="1508"/>
    </row>
    <row r="4" spans="2:24" ht="15.6">
      <c r="B4" s="1509" t="s">
        <v>3774</v>
      </c>
      <c r="C4" s="1509"/>
      <c r="D4" s="1509"/>
      <c r="E4" s="1509"/>
      <c r="F4" s="1509"/>
      <c r="G4" s="1509"/>
      <c r="H4" s="1509"/>
      <c r="I4" s="1509"/>
      <c r="J4" s="1509"/>
      <c r="K4" s="1509"/>
      <c r="L4" s="1509"/>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34" t="s">
        <v>126</v>
      </c>
      <c r="I6" s="1553"/>
      <c r="J6" s="1660" t="str">
        <f>TEXT('KEY INPUTS'!D33,"0")&amp;"  Debt       Service"</f>
        <v>2020  Debt       Service</v>
      </c>
      <c r="K6" s="1676"/>
      <c r="L6" s="1677"/>
    </row>
    <row r="7" spans="2:24" ht="21" customHeight="1" thickTop="1">
      <c r="B7" s="22" t="str">
        <f>'KEY INPUTS'!D27</f>
        <v>Outstanding - January 1, 2019</v>
      </c>
      <c r="C7" s="22"/>
      <c r="D7" s="22"/>
      <c r="E7" s="22"/>
      <c r="F7" s="22" t="s">
        <v>112</v>
      </c>
      <c r="G7" s="145" t="s">
        <v>788</v>
      </c>
      <c r="H7" s="1652">
        <v>37038000</v>
      </c>
      <c r="I7" s="1653"/>
      <c r="J7" s="74"/>
      <c r="K7" s="286"/>
      <c r="L7" s="812"/>
    </row>
    <row r="8" spans="2:24" ht="21" customHeight="1">
      <c r="B8" s="5" t="s">
        <v>113</v>
      </c>
      <c r="C8" s="5"/>
      <c r="D8" s="5"/>
      <c r="E8" s="5"/>
      <c r="F8" s="5" t="s">
        <v>114</v>
      </c>
      <c r="G8" s="146" t="s">
        <v>788</v>
      </c>
      <c r="H8" s="1652"/>
      <c r="I8" s="1653"/>
      <c r="J8" s="74"/>
      <c r="K8" s="286"/>
      <c r="L8" s="812"/>
      <c r="P8" s="322"/>
      <c r="Q8" s="322"/>
      <c r="R8" s="322"/>
      <c r="S8" s="322"/>
      <c r="T8" s="322"/>
      <c r="U8" s="322"/>
      <c r="V8" s="322"/>
      <c r="W8" s="322"/>
      <c r="X8" s="322"/>
    </row>
    <row r="9" spans="2:24" ht="21" customHeight="1">
      <c r="B9" s="5" t="s">
        <v>326</v>
      </c>
      <c r="C9" s="5"/>
      <c r="D9" s="5"/>
      <c r="E9" s="5"/>
      <c r="F9" s="5" t="s">
        <v>115</v>
      </c>
      <c r="G9" s="374">
        <v>4709000</v>
      </c>
      <c r="H9" s="1662" t="s">
        <v>788</v>
      </c>
      <c r="I9" s="1663"/>
      <c r="J9" s="74"/>
      <c r="K9" s="286"/>
      <c r="L9" s="812"/>
      <c r="P9" s="322"/>
      <c r="Q9" s="322"/>
      <c r="R9" s="322"/>
      <c r="S9" s="322"/>
      <c r="T9" s="322"/>
      <c r="U9" s="322"/>
      <c r="V9" s="322"/>
      <c r="W9" s="322"/>
      <c r="X9" s="322"/>
    </row>
    <row r="10" spans="2:24" ht="21" customHeight="1">
      <c r="B10" s="566"/>
      <c r="C10" s="566"/>
      <c r="D10" s="566"/>
      <c r="E10" s="566"/>
      <c r="F10" s="566"/>
      <c r="G10" s="374"/>
      <c r="H10" s="1652"/>
      <c r="I10" s="1653"/>
      <c r="J10" s="74"/>
      <c r="K10" s="286"/>
      <c r="L10" s="812"/>
      <c r="P10" s="322"/>
      <c r="Q10" s="322"/>
      <c r="R10" s="322"/>
      <c r="S10" s="322"/>
      <c r="T10" s="322"/>
      <c r="U10" s="322"/>
      <c r="V10" s="322"/>
      <c r="W10" s="322"/>
      <c r="X10" s="322"/>
    </row>
    <row r="11" spans="2:24" ht="21" customHeight="1">
      <c r="B11" s="566"/>
      <c r="C11" s="566"/>
      <c r="D11" s="566"/>
      <c r="E11" s="566"/>
      <c r="F11" s="566"/>
      <c r="G11" s="374"/>
      <c r="H11" s="1652"/>
      <c r="I11" s="1653"/>
      <c r="J11" s="74"/>
      <c r="K11" s="286"/>
      <c r="L11" s="812"/>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32329000</v>
      </c>
      <c r="H12" s="1664" t="s">
        <v>788</v>
      </c>
      <c r="I12" s="1665"/>
      <c r="J12" s="74"/>
      <c r="K12" s="286"/>
      <c r="L12" s="812"/>
      <c r="P12" s="322"/>
      <c r="Q12" s="322"/>
      <c r="R12" s="322"/>
      <c r="S12" s="322"/>
      <c r="T12" s="322"/>
      <c r="U12" s="322"/>
      <c r="V12" s="322"/>
      <c r="W12" s="322"/>
      <c r="X12" s="322"/>
    </row>
    <row r="13" spans="2:24" ht="21" customHeight="1" thickBot="1">
      <c r="G13" s="79">
        <f>SUM(G7:G12)</f>
        <v>37038000</v>
      </c>
      <c r="H13" s="1668">
        <f>SUM(H7:I12)</f>
        <v>37038000</v>
      </c>
      <c r="I13" s="1669"/>
      <c r="J13" s="74"/>
      <c r="K13" s="286"/>
      <c r="L13" s="812"/>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6" t="s">
        <v>482</v>
      </c>
      <c r="K14" s="1672">
        <v>4600000</v>
      </c>
      <c r="L14" s="1673"/>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482</v>
      </c>
      <c r="I15" s="1086">
        <v>829451</v>
      </c>
      <c r="J15" s="74"/>
      <c r="K15" s="286"/>
      <c r="L15" s="812"/>
      <c r="P15" s="322"/>
      <c r="Q15" s="377"/>
      <c r="R15" s="322"/>
      <c r="S15" s="322"/>
      <c r="T15" s="322"/>
      <c r="U15" s="322"/>
      <c r="V15" s="322"/>
      <c r="W15" s="322"/>
      <c r="X15" s="322"/>
    </row>
    <row r="16" spans="2:24" ht="16.5" customHeight="1" thickTop="1">
      <c r="B16" s="1666"/>
      <c r="C16" s="1666"/>
      <c r="D16" s="1666"/>
      <c r="E16" s="1666"/>
      <c r="F16" s="1666"/>
      <c r="G16" s="1666"/>
      <c r="H16" s="1666"/>
      <c r="I16" s="1667"/>
      <c r="J16" s="74"/>
      <c r="K16" s="286"/>
      <c r="L16" s="812"/>
      <c r="P16" s="322"/>
      <c r="Q16" s="322"/>
      <c r="R16" s="322"/>
      <c r="S16" s="322"/>
      <c r="T16" s="322"/>
      <c r="U16" s="322"/>
      <c r="V16" s="322"/>
      <c r="W16" s="322"/>
      <c r="X16" s="322"/>
    </row>
    <row r="17" spans="2:24" ht="26.25" customHeight="1" thickBot="1">
      <c r="B17" s="1670" t="s">
        <v>119</v>
      </c>
      <c r="C17" s="1670"/>
      <c r="D17" s="1670"/>
      <c r="E17" s="1670"/>
      <c r="F17" s="1670"/>
      <c r="G17" s="1670"/>
      <c r="H17" s="1670"/>
      <c r="I17" s="1671"/>
      <c r="J17" s="74"/>
      <c r="K17" s="286"/>
      <c r="L17" s="812"/>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788</v>
      </c>
      <c r="H18" s="1652"/>
      <c r="I18" s="1653"/>
      <c r="J18" s="74"/>
      <c r="K18" s="286"/>
      <c r="L18" s="812"/>
      <c r="P18" s="322"/>
      <c r="Q18" s="322"/>
      <c r="R18" s="322"/>
      <c r="S18" s="322"/>
      <c r="T18" s="322"/>
      <c r="U18" s="322"/>
      <c r="V18" s="322"/>
      <c r="W18" s="322"/>
      <c r="X18" s="322"/>
    </row>
    <row r="19" spans="2:24" ht="21" customHeight="1">
      <c r="B19" s="5" t="s">
        <v>113</v>
      </c>
      <c r="C19" s="5"/>
      <c r="D19" s="5"/>
      <c r="E19" s="5"/>
      <c r="F19" s="5" t="s">
        <v>121</v>
      </c>
      <c r="G19" s="146" t="s">
        <v>788</v>
      </c>
      <c r="H19" s="1652"/>
      <c r="I19" s="1653"/>
      <c r="J19" s="74"/>
      <c r="K19" s="286"/>
      <c r="L19" s="812"/>
      <c r="P19" s="322"/>
      <c r="Q19" s="322"/>
      <c r="R19" s="322"/>
      <c r="S19" s="322"/>
      <c r="T19" s="322"/>
      <c r="U19" s="322"/>
      <c r="V19" s="322"/>
      <c r="W19" s="322"/>
      <c r="X19" s="322"/>
    </row>
    <row r="20" spans="2:24" ht="21" customHeight="1">
      <c r="B20" s="5" t="s">
        <v>326</v>
      </c>
      <c r="C20" s="5"/>
      <c r="D20" s="5"/>
      <c r="E20" s="5"/>
      <c r="F20" s="5" t="s">
        <v>122</v>
      </c>
      <c r="G20" s="374"/>
      <c r="H20" s="1662" t="s">
        <v>788</v>
      </c>
      <c r="I20" s="1663"/>
      <c r="J20" s="74"/>
      <c r="K20" s="286"/>
      <c r="L20" s="812"/>
      <c r="P20" s="322"/>
      <c r="Q20" s="322"/>
      <c r="R20" s="322"/>
      <c r="S20" s="322"/>
      <c r="T20" s="322"/>
      <c r="U20" s="322"/>
      <c r="V20" s="322"/>
      <c r="W20" s="322"/>
      <c r="X20" s="322"/>
    </row>
    <row r="21" spans="2:24" ht="21" customHeight="1">
      <c r="B21" s="566"/>
      <c r="C21" s="566"/>
      <c r="D21" s="566"/>
      <c r="E21" s="566"/>
      <c r="F21" s="566"/>
      <c r="G21" s="374"/>
      <c r="H21" s="1652"/>
      <c r="I21" s="1653"/>
      <c r="J21" s="74"/>
      <c r="K21" s="286"/>
      <c r="L21" s="812"/>
      <c r="P21" s="322"/>
      <c r="Q21" s="322"/>
      <c r="R21" s="322"/>
      <c r="S21" s="322"/>
      <c r="T21" s="322"/>
      <c r="U21" s="322"/>
      <c r="V21" s="322"/>
      <c r="W21" s="322"/>
      <c r="X21" s="322"/>
    </row>
    <row r="22" spans="2:24" ht="21" customHeight="1">
      <c r="B22" s="566"/>
      <c r="C22" s="566"/>
      <c r="D22" s="566"/>
      <c r="E22" s="566"/>
      <c r="F22" s="566"/>
      <c r="G22" s="374"/>
      <c r="H22" s="1652"/>
      <c r="I22" s="1653"/>
      <c r="J22" s="74"/>
      <c r="K22" s="286"/>
      <c r="L22" s="812"/>
      <c r="P22" s="322"/>
      <c r="Q22" s="322"/>
      <c r="R22" s="322"/>
      <c r="S22" s="322"/>
      <c r="T22" s="322"/>
      <c r="U22" s="322"/>
      <c r="V22" s="322"/>
      <c r="W22" s="322"/>
      <c r="X22" s="322"/>
    </row>
    <row r="23" spans="2:24" ht="21" customHeight="1" thickBot="1">
      <c r="B23" s="5" t="str">
        <f>B12</f>
        <v>Outstanding - December 31, 2019</v>
      </c>
      <c r="C23" s="5"/>
      <c r="D23" s="5"/>
      <c r="E23" s="5"/>
      <c r="F23" s="5" t="s">
        <v>699</v>
      </c>
      <c r="G23" s="76">
        <f>+H18+H19-G20-G21-G22+H21+H22</f>
        <v>0</v>
      </c>
      <c r="H23" s="1664" t="s">
        <v>788</v>
      </c>
      <c r="I23" s="1665"/>
      <c r="J23" s="74"/>
      <c r="K23" s="286"/>
      <c r="L23" s="812"/>
      <c r="P23" s="322"/>
      <c r="Q23" s="322"/>
      <c r="R23" s="322"/>
      <c r="S23" s="322"/>
      <c r="T23" s="322"/>
      <c r="U23" s="322"/>
      <c r="V23" s="322"/>
      <c r="W23" s="322"/>
      <c r="X23" s="322"/>
    </row>
    <row r="24" spans="2:24" ht="21" customHeight="1" thickBot="1">
      <c r="G24" s="79">
        <f>SUM(G18:G23)</f>
        <v>0</v>
      </c>
      <c r="H24" s="1668">
        <f>SUM(H18:I23)</f>
        <v>0</v>
      </c>
      <c r="I24" s="1669"/>
      <c r="J24" s="74"/>
      <c r="K24" s="286"/>
      <c r="L24" s="812"/>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700</v>
      </c>
      <c r="J25" s="746" t="s">
        <v>482</v>
      </c>
      <c r="K25" s="1672"/>
      <c r="L25" s="1673"/>
      <c r="P25" s="322"/>
      <c r="Q25" s="322"/>
      <c r="R25" s="322"/>
      <c r="S25" s="322"/>
      <c r="T25" s="322"/>
      <c r="U25" s="322"/>
      <c r="V25" s="322"/>
      <c r="W25" s="322"/>
      <c r="X25" s="322"/>
    </row>
    <row r="26" spans="2:24" ht="21" customHeight="1" thickBot="1">
      <c r="B26" s="27" t="str">
        <f>B15</f>
        <v>2020 Interest on Bonds*</v>
      </c>
      <c r="C26" s="27"/>
      <c r="D26" s="27"/>
      <c r="E26" s="27"/>
      <c r="F26" s="27"/>
      <c r="G26" s="77" t="s">
        <v>701</v>
      </c>
      <c r="H26" s="27" t="s">
        <v>482</v>
      </c>
      <c r="I26" s="1086"/>
      <c r="J26" s="74"/>
      <c r="K26" s="286"/>
      <c r="L26" s="812"/>
      <c r="P26" s="322"/>
      <c r="Q26" s="322"/>
      <c r="R26" s="322"/>
      <c r="S26" s="322"/>
      <c r="T26" s="322"/>
      <c r="U26" s="322"/>
      <c r="V26" s="322"/>
      <c r="W26" s="322"/>
      <c r="X26" s="322"/>
    </row>
    <row r="27" spans="2:24" ht="21" customHeight="1" thickTop="1" thickBot="1">
      <c r="B27" s="10" t="s">
        <v>702</v>
      </c>
      <c r="C27" s="10"/>
      <c r="D27" s="10"/>
      <c r="E27" s="10"/>
      <c r="F27" s="10"/>
      <c r="G27" s="10"/>
      <c r="H27" s="10"/>
      <c r="I27" s="140" t="s">
        <v>703</v>
      </c>
      <c r="J27" s="17" t="s">
        <v>482</v>
      </c>
      <c r="K27" s="1674">
        <f>+I26+I15</f>
        <v>829451</v>
      </c>
      <c r="L27" s="1675"/>
    </row>
    <row r="28" spans="2:24" ht="21" customHeight="1" thickTop="1"/>
    <row r="29" spans="2:24" ht="21" customHeight="1" thickBot="1">
      <c r="B29" s="1654" t="str">
        <f>"LIST  OF  BONDS  ISSUED  DURING "&amp;TEXT('KEY INPUTS'!D34,"0")</f>
        <v>LIST  OF  BONDS  ISSUED  DURING 2019</v>
      </c>
      <c r="C29" s="1654"/>
      <c r="D29" s="1654"/>
      <c r="E29" s="1654"/>
      <c r="F29" s="1654"/>
      <c r="G29" s="1654"/>
      <c r="H29" s="1654"/>
      <c r="I29" s="1654"/>
      <c r="J29" s="1654"/>
      <c r="K29" s="1654"/>
      <c r="L29" s="1654"/>
    </row>
    <row r="30" spans="2:24" ht="27" customHeight="1" thickTop="1" thickBot="1">
      <c r="B30" s="1552" t="s">
        <v>532</v>
      </c>
      <c r="C30" s="1552"/>
      <c r="D30" s="1552"/>
      <c r="E30" s="1552"/>
      <c r="F30" s="1552"/>
      <c r="G30" s="4" t="str">
        <f>TEXT('KEY INPUTS'!D33,"0")&amp;" Maturity"</f>
        <v>2020 Maturity</v>
      </c>
      <c r="H30" s="1634" t="s">
        <v>109</v>
      </c>
      <c r="I30" s="1553"/>
      <c r="J30" s="1660" t="s">
        <v>107</v>
      </c>
      <c r="K30" s="1661"/>
      <c r="L30" s="813" t="s">
        <v>108</v>
      </c>
    </row>
    <row r="31" spans="2:24" ht="21" customHeight="1" thickTop="1">
      <c r="B31" s="569"/>
      <c r="C31" s="569"/>
      <c r="D31" s="569"/>
      <c r="E31" s="569"/>
      <c r="F31" s="569"/>
      <c r="G31" s="571"/>
      <c r="H31" s="1658"/>
      <c r="I31" s="1659"/>
      <c r="J31" s="1657"/>
      <c r="K31" s="1649"/>
      <c r="L31" s="953"/>
    </row>
    <row r="32" spans="2:24" ht="21" customHeight="1">
      <c r="B32" s="566"/>
      <c r="C32" s="566"/>
      <c r="D32" s="566"/>
      <c r="E32" s="566"/>
      <c r="F32" s="566"/>
      <c r="G32" s="374"/>
      <c r="H32" s="1652"/>
      <c r="I32" s="1653"/>
      <c r="J32" s="1651"/>
      <c r="K32" s="1646"/>
      <c r="L32" s="954"/>
    </row>
    <row r="33" spans="2:31" ht="21" customHeight="1">
      <c r="B33" s="566"/>
      <c r="C33" s="566"/>
      <c r="D33" s="566"/>
      <c r="E33" s="566"/>
      <c r="F33" s="566"/>
      <c r="G33" s="374"/>
      <c r="H33" s="1652"/>
      <c r="I33" s="1653"/>
      <c r="J33" s="1651"/>
      <c r="K33" s="1646"/>
      <c r="L33" s="954"/>
    </row>
    <row r="34" spans="2:31" ht="21" customHeight="1">
      <c r="B34" s="566"/>
      <c r="C34" s="566"/>
      <c r="D34" s="566"/>
      <c r="E34" s="566"/>
      <c r="F34" s="566"/>
      <c r="G34" s="374"/>
      <c r="H34" s="1652"/>
      <c r="I34" s="1653"/>
      <c r="J34" s="1651"/>
      <c r="K34" s="1646"/>
      <c r="L34" s="954"/>
    </row>
    <row r="35" spans="2:31" ht="21" customHeight="1">
      <c r="B35" s="566"/>
      <c r="C35" s="566"/>
      <c r="D35" s="566"/>
      <c r="E35" s="566"/>
      <c r="F35" s="566"/>
      <c r="G35" s="374"/>
      <c r="H35" s="1652"/>
      <c r="I35" s="1653"/>
      <c r="J35" s="1651"/>
      <c r="K35" s="1646"/>
      <c r="L35" s="954"/>
    </row>
    <row r="36" spans="2:31" ht="21" customHeight="1">
      <c r="B36" s="566"/>
      <c r="C36" s="566"/>
      <c r="D36" s="566"/>
      <c r="E36" s="566"/>
      <c r="F36" s="566"/>
      <c r="G36" s="374"/>
      <c r="H36" s="1652"/>
      <c r="I36" s="1653"/>
      <c r="J36" s="1651"/>
      <c r="K36" s="1646"/>
      <c r="L36" s="954"/>
    </row>
    <row r="37" spans="2:31" ht="21" customHeight="1">
      <c r="B37" s="566"/>
      <c r="C37" s="566"/>
      <c r="D37" s="566"/>
      <c r="E37" s="566"/>
      <c r="F37" s="566"/>
      <c r="G37" s="374"/>
      <c r="H37" s="1652"/>
      <c r="I37" s="1653"/>
      <c r="J37" s="1651"/>
      <c r="K37" s="1646"/>
      <c r="L37" s="954"/>
    </row>
    <row r="38" spans="2:31" ht="21" customHeight="1">
      <c r="B38" s="566"/>
      <c r="C38" s="566"/>
      <c r="D38" s="566"/>
      <c r="E38" s="566"/>
      <c r="F38" s="566"/>
      <c r="G38" s="374"/>
      <c r="H38" s="1652"/>
      <c r="I38" s="1653"/>
      <c r="J38" s="1651"/>
      <c r="K38" s="1646"/>
      <c r="L38" s="954"/>
    </row>
    <row r="39" spans="2:31" ht="21" customHeight="1" thickBot="1">
      <c r="B39" s="27"/>
      <c r="C39" s="27"/>
      <c r="D39" s="27"/>
      <c r="E39" s="27"/>
      <c r="F39" s="41" t="s">
        <v>260</v>
      </c>
      <c r="G39" s="79">
        <f>SUM(G31:G38)</f>
        <v>0</v>
      </c>
      <c r="H39" s="1655">
        <f>SUM(H31:I38)</f>
        <v>0</v>
      </c>
      <c r="I39" s="1656"/>
      <c r="J39" s="40"/>
      <c r="K39" s="27"/>
      <c r="L39" s="19"/>
    </row>
    <row r="40" spans="2:31" ht="13.8" thickTop="1">
      <c r="G40" s="57" t="s">
        <v>110</v>
      </c>
      <c r="H40" s="57"/>
      <c r="I40" s="57" t="s">
        <v>111</v>
      </c>
      <c r="AE40" s="322"/>
    </row>
    <row r="47" spans="2:31" ht="13.8">
      <c r="B47" s="1507" t="s">
        <v>704</v>
      </c>
      <c r="C47" s="1507"/>
      <c r="D47" s="1507"/>
      <c r="E47" s="1507"/>
      <c r="F47" s="1507"/>
      <c r="G47" s="1507"/>
      <c r="H47" s="1507"/>
      <c r="I47" s="1507"/>
      <c r="J47" s="1507"/>
      <c r="K47" s="1507"/>
      <c r="L47" s="1507"/>
    </row>
  </sheetData>
  <sheetProtection algorithmName="SHA-512" hashValue="6edpPcpKLO/nKpVCGpPkTKf0gon/W3TOYOjzut9YDGI2M3Ow/xURdD/w2V7w06OIMo082byA6XVol8TsnmaNMw==" saltValue="77ZdvSAacDZOkKrBzALwu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0"/>
  <dimension ref="B2:W47"/>
  <sheetViews>
    <sheetView topLeftCell="A25" zoomScaleNormal="100" workbookViewId="0">
      <selection activeCell="H7" sqref="H7:I7"/>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3" ht="20.399999999999999">
      <c r="B2" s="1595" t="s">
        <v>606</v>
      </c>
      <c r="C2" s="1595"/>
      <c r="D2" s="1595"/>
      <c r="E2" s="1595"/>
      <c r="F2" s="1595"/>
      <c r="G2" s="1595"/>
      <c r="H2" s="1595"/>
      <c r="I2" s="1595"/>
      <c r="J2" s="1595"/>
      <c r="K2" s="1595"/>
      <c r="L2" s="1595"/>
    </row>
    <row r="3" spans="2:23" ht="20.399999999999999">
      <c r="B3" s="1595" t="str">
        <f>" AND "&amp;TEXT('KEY INPUTS'!D33,"0")&amp;" DEBT  SERVICE  FOR  LOANS"</f>
        <v xml:space="preserve"> AND 2020 DEBT  SERVICE  FOR  LOANS</v>
      </c>
      <c r="C3" s="1595"/>
      <c r="D3" s="1595"/>
      <c r="E3" s="1595"/>
      <c r="F3" s="1595"/>
      <c r="G3" s="1595"/>
      <c r="H3" s="1595"/>
      <c r="I3" s="1595"/>
      <c r="J3" s="1595"/>
      <c r="K3" s="1595"/>
      <c r="L3" s="1595"/>
    </row>
    <row r="4" spans="2:23" ht="15.6">
      <c r="B4" s="1690" t="s">
        <v>3467</v>
      </c>
      <c r="C4" s="1690"/>
      <c r="D4" s="1690"/>
      <c r="E4" s="1690"/>
      <c r="F4" s="1690"/>
      <c r="G4" s="1690"/>
      <c r="H4" s="1690"/>
      <c r="I4" s="1690"/>
      <c r="J4" s="1690"/>
      <c r="K4" s="1690"/>
      <c r="L4" s="1690"/>
    </row>
    <row r="5" spans="2:23" ht="9.75" customHeight="1" thickBot="1">
      <c r="B5" s="108"/>
      <c r="C5" s="108"/>
      <c r="D5" s="108"/>
      <c r="E5" s="108"/>
      <c r="F5" s="108"/>
      <c r="G5" s="108"/>
      <c r="H5" s="108"/>
      <c r="I5" s="108"/>
      <c r="J5" s="108"/>
      <c r="K5" s="108"/>
      <c r="L5" s="108"/>
    </row>
    <row r="6" spans="2:23" ht="27.75" customHeight="1" thickTop="1" thickBot="1">
      <c r="B6" s="1046"/>
      <c r="C6" s="1046"/>
      <c r="D6" s="1046"/>
      <c r="E6" s="1046"/>
      <c r="F6" s="1046"/>
      <c r="G6" s="969" t="s">
        <v>125</v>
      </c>
      <c r="H6" s="1694" t="s">
        <v>126</v>
      </c>
      <c r="I6" s="1570"/>
      <c r="J6" s="1691" t="str">
        <f>'31-Capital Bond Schedule'!J6:L6</f>
        <v>2020  Debt       Service</v>
      </c>
      <c r="K6" s="1692"/>
      <c r="L6" s="1693"/>
    </row>
    <row r="7" spans="2:23" ht="21" customHeight="1" thickTop="1">
      <c r="B7" s="22" t="str">
        <f>'31-Capital Bond Schedule'!B7</f>
        <v>Outstanding - January 1, 2019</v>
      </c>
      <c r="C7" s="22"/>
      <c r="D7" s="22"/>
      <c r="E7" s="22"/>
      <c r="F7" s="22" t="s">
        <v>112</v>
      </c>
      <c r="G7" s="1090" t="s">
        <v>788</v>
      </c>
      <c r="H7" s="1695"/>
      <c r="I7" s="1696"/>
      <c r="J7" s="74"/>
      <c r="K7" s="286"/>
      <c r="L7" s="812"/>
      <c r="O7" s="322"/>
      <c r="P7" s="322"/>
      <c r="Q7" s="322"/>
      <c r="R7" s="322"/>
      <c r="S7" s="322"/>
      <c r="T7" s="322"/>
      <c r="U7" s="322"/>
      <c r="V7" s="322"/>
      <c r="W7" s="322"/>
    </row>
    <row r="8" spans="2:23" ht="21" customHeight="1">
      <c r="B8" s="5" t="s">
        <v>113</v>
      </c>
      <c r="C8" s="5"/>
      <c r="D8" s="5"/>
      <c r="E8" s="5"/>
      <c r="F8" s="5" t="s">
        <v>114</v>
      </c>
      <c r="G8" s="975" t="s">
        <v>788</v>
      </c>
      <c r="H8" s="1652"/>
      <c r="I8" s="1653"/>
      <c r="J8" s="74"/>
      <c r="K8" s="286"/>
      <c r="L8" s="812"/>
      <c r="O8" s="322"/>
      <c r="P8" s="322"/>
      <c r="Q8" s="322"/>
      <c r="R8" s="322"/>
      <c r="S8" s="322"/>
      <c r="T8" s="322"/>
      <c r="U8" s="322"/>
      <c r="V8" s="322"/>
      <c r="W8" s="322"/>
    </row>
    <row r="9" spans="2:23" ht="21" customHeight="1">
      <c r="B9" s="5" t="s">
        <v>326</v>
      </c>
      <c r="C9" s="5"/>
      <c r="D9" s="5"/>
      <c r="E9" s="5"/>
      <c r="F9" s="5" t="s">
        <v>115</v>
      </c>
      <c r="G9" s="374"/>
      <c r="H9" s="1697" t="s">
        <v>788</v>
      </c>
      <c r="I9" s="1698"/>
      <c r="J9" s="74"/>
      <c r="K9" s="286"/>
      <c r="L9" s="812"/>
      <c r="O9" s="322"/>
      <c r="P9" s="322"/>
      <c r="Q9" s="322"/>
      <c r="R9" s="322"/>
      <c r="S9" s="322"/>
      <c r="T9" s="322"/>
      <c r="U9" s="322"/>
      <c r="V9" s="322"/>
      <c r="W9" s="322"/>
    </row>
    <row r="10" spans="2:23" ht="21" customHeight="1">
      <c r="B10" s="5" t="s">
        <v>186</v>
      </c>
      <c r="C10" s="5"/>
      <c r="D10" s="5"/>
      <c r="E10" s="5"/>
      <c r="F10" s="5"/>
      <c r="G10" s="374"/>
      <c r="H10" s="1652"/>
      <c r="I10" s="1653"/>
      <c r="J10" s="74"/>
      <c r="K10" s="286"/>
      <c r="L10" s="812"/>
      <c r="O10" s="322"/>
      <c r="P10" s="322"/>
      <c r="Q10" s="322"/>
      <c r="R10" s="322"/>
      <c r="S10" s="322"/>
      <c r="T10" s="322"/>
      <c r="U10" s="322"/>
      <c r="V10" s="322"/>
      <c r="W10" s="322"/>
    </row>
    <row r="11" spans="2:23" ht="21" customHeight="1">
      <c r="B11" s="1562"/>
      <c r="C11" s="1562"/>
      <c r="D11" s="1562"/>
      <c r="E11" s="1562"/>
      <c r="F11" s="1563"/>
      <c r="G11" s="601"/>
      <c r="H11" s="1680"/>
      <c r="I11" s="1681"/>
      <c r="J11" s="74"/>
      <c r="K11" s="286"/>
      <c r="L11" s="812"/>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91">
        <f>+H7+H8-G9-G10-G11+H10+H11</f>
        <v>0</v>
      </c>
      <c r="H12" s="1678" t="s">
        <v>788</v>
      </c>
      <c r="I12" s="1679"/>
      <c r="J12" s="74"/>
      <c r="K12" s="286"/>
      <c r="L12" s="812"/>
      <c r="O12" s="322"/>
      <c r="P12" s="322"/>
      <c r="Q12" s="322"/>
      <c r="R12" s="322"/>
      <c r="S12" s="322"/>
      <c r="T12" s="322"/>
      <c r="U12" s="322"/>
      <c r="V12" s="322"/>
      <c r="W12" s="322"/>
    </row>
    <row r="13" spans="2:23" ht="21" customHeight="1" thickBot="1">
      <c r="G13" s="1085">
        <f>SUM(G7:G12)</f>
        <v>0</v>
      </c>
      <c r="H13" s="1684">
        <f>SUM(H7:I12)</f>
        <v>0</v>
      </c>
      <c r="I13" s="1685"/>
      <c r="J13" s="74"/>
      <c r="K13" s="286"/>
      <c r="L13" s="812"/>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51" t="s">
        <v>117</v>
      </c>
      <c r="J14" s="746" t="s">
        <v>482</v>
      </c>
      <c r="K14" s="1672"/>
      <c r="L14" s="1673"/>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92" t="s">
        <v>118</v>
      </c>
      <c r="J15" s="746" t="s">
        <v>482</v>
      </c>
      <c r="K15" s="1672"/>
      <c r="L15" s="1673"/>
      <c r="O15" s="322"/>
      <c r="P15" s="322"/>
      <c r="Q15" s="322"/>
      <c r="R15" s="322"/>
      <c r="S15" s="322"/>
      <c r="T15" s="322"/>
      <c r="U15" s="322"/>
      <c r="V15" s="322"/>
      <c r="W15" s="322"/>
    </row>
    <row r="16" spans="2:23" ht="16.5" customHeight="1" thickBot="1">
      <c r="B16" s="1460" t="str">
        <f>"Total "&amp;TEXT('KEY INPUTS'!D33,"0")&amp;" Debt Service for"</f>
        <v>Total 2020 Debt Service for</v>
      </c>
      <c r="C16" s="1461"/>
      <c r="D16" s="1461"/>
      <c r="E16" s="1461"/>
      <c r="F16" s="1463"/>
      <c r="G16" s="1462" t="s">
        <v>3780</v>
      </c>
      <c r="H16" s="10"/>
      <c r="I16" s="1093" t="s">
        <v>703</v>
      </c>
      <c r="J16" s="40" t="s">
        <v>482</v>
      </c>
      <c r="K16" s="1682">
        <f>+K14+K15</f>
        <v>0</v>
      </c>
      <c r="L16" s="1683"/>
      <c r="O16" s="322"/>
      <c r="P16" s="322"/>
      <c r="Q16" s="322"/>
      <c r="R16" s="322"/>
      <c r="S16" s="322"/>
      <c r="T16" s="322"/>
      <c r="U16" s="322"/>
      <c r="V16" s="322"/>
      <c r="W16" s="322"/>
    </row>
    <row r="17" spans="2:23" ht="26.25" customHeight="1" thickTop="1" thickBot="1">
      <c r="B17" s="1688" t="s">
        <v>187</v>
      </c>
      <c r="C17" s="1688"/>
      <c r="D17" s="1688"/>
      <c r="E17" s="1688"/>
      <c r="F17" s="1688"/>
      <c r="G17" s="1688"/>
      <c r="H17" s="1688"/>
      <c r="I17" s="1689"/>
      <c r="J17" s="74"/>
      <c r="K17" s="286"/>
      <c r="L17" s="812"/>
      <c r="O17" s="322"/>
      <c r="P17" s="322"/>
      <c r="Q17" s="322"/>
      <c r="R17" s="322"/>
      <c r="S17" s="322"/>
      <c r="T17" s="322"/>
      <c r="U17" s="322"/>
      <c r="V17" s="322"/>
      <c r="W17" s="322"/>
    </row>
    <row r="18" spans="2:23" ht="21" customHeight="1" thickTop="1">
      <c r="B18" s="22" t="str">
        <f>B7</f>
        <v>Outstanding - January 1, 2019</v>
      </c>
      <c r="C18" s="22"/>
      <c r="D18" s="22"/>
      <c r="E18" s="22"/>
      <c r="F18" s="22" t="s">
        <v>120</v>
      </c>
      <c r="G18" s="1090" t="s">
        <v>788</v>
      </c>
      <c r="H18" s="1652"/>
      <c r="I18" s="1653"/>
      <c r="J18" s="74"/>
      <c r="K18" s="286"/>
      <c r="L18" s="812"/>
      <c r="O18" s="322"/>
      <c r="P18" s="322"/>
      <c r="Q18" s="322"/>
      <c r="R18" s="322"/>
      <c r="S18" s="322"/>
      <c r="T18" s="322"/>
      <c r="U18" s="322"/>
      <c r="V18" s="322"/>
      <c r="W18" s="322"/>
    </row>
    <row r="19" spans="2:23" ht="21" customHeight="1">
      <c r="B19" s="5" t="s">
        <v>113</v>
      </c>
      <c r="C19" s="5"/>
      <c r="D19" s="5"/>
      <c r="E19" s="5"/>
      <c r="F19" s="5" t="s">
        <v>121</v>
      </c>
      <c r="G19" s="975" t="s">
        <v>788</v>
      </c>
      <c r="H19" s="1652"/>
      <c r="I19" s="1653"/>
      <c r="J19" s="74"/>
      <c r="K19" s="286"/>
      <c r="L19" s="812"/>
      <c r="O19" s="322"/>
      <c r="P19" s="322"/>
      <c r="Q19" s="322"/>
      <c r="R19" s="322"/>
      <c r="S19" s="322"/>
      <c r="T19" s="322"/>
      <c r="U19" s="322"/>
      <c r="V19" s="322"/>
      <c r="W19" s="322"/>
    </row>
    <row r="20" spans="2:23" ht="21" customHeight="1">
      <c r="B20" s="5" t="s">
        <v>326</v>
      </c>
      <c r="C20" s="5"/>
      <c r="D20" s="5"/>
      <c r="E20" s="5"/>
      <c r="F20" s="5" t="s">
        <v>122</v>
      </c>
      <c r="G20" s="374"/>
      <c r="H20" s="1686" t="s">
        <v>788</v>
      </c>
      <c r="I20" s="1687"/>
      <c r="J20" s="74"/>
      <c r="K20" s="286"/>
      <c r="L20" s="812"/>
      <c r="O20" s="322"/>
      <c r="P20" s="322"/>
      <c r="Q20" s="322"/>
      <c r="R20" s="322"/>
      <c r="S20" s="322"/>
      <c r="T20" s="322"/>
      <c r="U20" s="322"/>
      <c r="V20" s="322"/>
      <c r="W20" s="322"/>
    </row>
    <row r="21" spans="2:23" ht="21" customHeight="1">
      <c r="B21" s="1700"/>
      <c r="C21" s="1700"/>
      <c r="D21" s="1700"/>
      <c r="E21" s="1700"/>
      <c r="F21" s="1701"/>
      <c r="G21" s="601"/>
      <c r="H21" s="1680"/>
      <c r="I21" s="1681"/>
      <c r="J21" s="74"/>
      <c r="K21" s="286"/>
      <c r="L21" s="812"/>
      <c r="O21" s="322"/>
      <c r="P21" s="322"/>
      <c r="Q21" s="322"/>
      <c r="R21" s="322"/>
      <c r="S21" s="322"/>
      <c r="T21" s="322"/>
      <c r="U21" s="322"/>
      <c r="V21" s="322"/>
      <c r="W21" s="322"/>
    </row>
    <row r="22" spans="2:23" ht="21" customHeight="1">
      <c r="B22" s="1700"/>
      <c r="C22" s="1700"/>
      <c r="D22" s="1700"/>
      <c r="E22" s="1700"/>
      <c r="F22" s="1701"/>
      <c r="G22" s="601"/>
      <c r="H22" s="1680"/>
      <c r="I22" s="1681"/>
      <c r="J22" s="74"/>
      <c r="K22" s="286"/>
      <c r="L22" s="812"/>
      <c r="O22" s="322"/>
      <c r="P22" s="322"/>
      <c r="Q22" s="322"/>
      <c r="R22" s="322"/>
      <c r="S22" s="322"/>
      <c r="T22" s="322"/>
      <c r="U22" s="322"/>
      <c r="V22" s="322"/>
      <c r="W22" s="322"/>
    </row>
    <row r="23" spans="2:23" ht="21" customHeight="1" thickBot="1">
      <c r="B23" s="5" t="str">
        <f>B12</f>
        <v>Outstanding - December 31, 2019</v>
      </c>
      <c r="C23" s="5"/>
      <c r="D23" s="5"/>
      <c r="E23" s="5"/>
      <c r="F23" s="5" t="s">
        <v>699</v>
      </c>
      <c r="G23" s="1091">
        <f>+H18+H19-G20-G21-G22+H21+H22</f>
        <v>0</v>
      </c>
      <c r="H23" s="1678" t="s">
        <v>788</v>
      </c>
      <c r="I23" s="1679"/>
      <c r="J23" s="74"/>
      <c r="K23" s="286"/>
      <c r="L23" s="812"/>
      <c r="O23" s="322"/>
      <c r="P23" s="322"/>
      <c r="Q23" s="322"/>
      <c r="R23" s="322"/>
      <c r="S23" s="322"/>
      <c r="T23" s="322"/>
      <c r="U23" s="322"/>
      <c r="V23" s="322"/>
      <c r="W23" s="322"/>
    </row>
    <row r="24" spans="2:23" ht="21" customHeight="1" thickBot="1">
      <c r="G24" s="1085">
        <f>SUM(G18:G23)</f>
        <v>0</v>
      </c>
      <c r="H24" s="1684">
        <f>SUM(H18:I23)</f>
        <v>0</v>
      </c>
      <c r="I24" s="1685"/>
      <c r="J24" s="74"/>
      <c r="K24" s="286"/>
      <c r="L24" s="812"/>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700</v>
      </c>
      <c r="J25" s="746" t="s">
        <v>482</v>
      </c>
      <c r="K25" s="1672"/>
      <c r="L25" s="1673"/>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6" t="s">
        <v>482</v>
      </c>
      <c r="K26" s="1672"/>
      <c r="L26" s="1673"/>
    </row>
    <row r="27" spans="2:23" ht="21" customHeight="1" thickBot="1">
      <c r="B27" s="1464" t="str">
        <f>"Total "&amp;TEXT('KEY INPUTS'!D33,"0")&amp;" Debt Service for"</f>
        <v>Total 2020 Debt Service for</v>
      </c>
      <c r="C27" s="1465"/>
      <c r="D27" s="1465"/>
      <c r="E27" s="1465"/>
      <c r="F27" s="1089"/>
      <c r="G27" s="1466" t="s">
        <v>3781</v>
      </c>
      <c r="H27" s="10"/>
      <c r="I27" s="243" t="s">
        <v>703</v>
      </c>
      <c r="J27" s="17" t="s">
        <v>482</v>
      </c>
      <c r="K27" s="1702">
        <f>+K25+K26</f>
        <v>0</v>
      </c>
      <c r="L27" s="1703"/>
    </row>
    <row r="28" spans="2:23" ht="21" customHeight="1" thickTop="1"/>
    <row r="29" spans="2:23" ht="21" customHeight="1" thickBot="1">
      <c r="B29" s="1654" t="str">
        <f>"LIST  OF  LOANS  ISSUED  DURING "&amp;TEXT('KEY INPUTS'!D34,"0")</f>
        <v>LIST  OF  LOANS  ISSUED  DURING 2019</v>
      </c>
      <c r="C29" s="1654"/>
      <c r="D29" s="1654"/>
      <c r="E29" s="1654"/>
      <c r="F29" s="1654"/>
      <c r="G29" s="1654"/>
      <c r="H29" s="1654"/>
      <c r="I29" s="1654"/>
      <c r="J29" s="1654"/>
      <c r="K29" s="1654"/>
      <c r="L29" s="1654"/>
    </row>
    <row r="30" spans="2:23" ht="27" customHeight="1" thickTop="1" thickBot="1">
      <c r="B30" s="1552" t="s">
        <v>532</v>
      </c>
      <c r="C30" s="1552"/>
      <c r="D30" s="1552"/>
      <c r="E30" s="1552"/>
      <c r="F30" s="1552"/>
      <c r="G30" s="4" t="str">
        <f>'31-Capital Bond Schedule'!G30</f>
        <v>2020 Maturity</v>
      </c>
      <c r="H30" s="1634" t="s">
        <v>109</v>
      </c>
      <c r="I30" s="1553"/>
      <c r="J30" s="1660" t="s">
        <v>107</v>
      </c>
      <c r="K30" s="1661"/>
      <c r="L30" s="813" t="s">
        <v>108</v>
      </c>
    </row>
    <row r="31" spans="2:23" ht="21" customHeight="1" thickTop="1">
      <c r="B31" s="569"/>
      <c r="C31" s="569"/>
      <c r="D31" s="569"/>
      <c r="E31" s="569"/>
      <c r="F31" s="569"/>
      <c r="G31" s="605"/>
      <c r="H31" s="1706"/>
      <c r="I31" s="1707"/>
      <c r="J31" s="1699"/>
      <c r="K31" s="1649"/>
      <c r="L31" s="955"/>
    </row>
    <row r="32" spans="2:23" ht="21" customHeight="1">
      <c r="B32" s="566"/>
      <c r="C32" s="566"/>
      <c r="D32" s="566"/>
      <c r="E32" s="566"/>
      <c r="F32" s="566"/>
      <c r="G32" s="601"/>
      <c r="H32" s="1680"/>
      <c r="I32" s="1681"/>
      <c r="J32" s="1651"/>
      <c r="K32" s="1646"/>
      <c r="L32" s="956"/>
    </row>
    <row r="33" spans="2:12" ht="21" customHeight="1">
      <c r="B33" s="566"/>
      <c r="C33" s="566"/>
      <c r="D33" s="566"/>
      <c r="E33" s="566"/>
      <c r="F33" s="566"/>
      <c r="G33" s="601"/>
      <c r="H33" s="1680"/>
      <c r="I33" s="1681"/>
      <c r="J33" s="1651"/>
      <c r="K33" s="1646"/>
      <c r="L33" s="956"/>
    </row>
    <row r="34" spans="2:12" ht="21" customHeight="1">
      <c r="B34" s="566"/>
      <c r="C34" s="566"/>
      <c r="D34" s="566"/>
      <c r="E34" s="566"/>
      <c r="F34" s="566"/>
      <c r="G34" s="601"/>
      <c r="H34" s="1680"/>
      <c r="I34" s="1681"/>
      <c r="J34" s="1651"/>
      <c r="K34" s="1646"/>
      <c r="L34" s="956"/>
    </row>
    <row r="35" spans="2:12" ht="21" customHeight="1">
      <c r="B35" s="566"/>
      <c r="C35" s="566"/>
      <c r="D35" s="566"/>
      <c r="E35" s="566"/>
      <c r="F35" s="566"/>
      <c r="G35" s="601"/>
      <c r="H35" s="1680"/>
      <c r="I35" s="1681"/>
      <c r="J35" s="1651"/>
      <c r="K35" s="1646"/>
      <c r="L35" s="956"/>
    </row>
    <row r="36" spans="2:12" ht="21" customHeight="1">
      <c r="B36" s="566"/>
      <c r="C36" s="566"/>
      <c r="D36" s="566"/>
      <c r="E36" s="566"/>
      <c r="F36" s="566"/>
      <c r="G36" s="601"/>
      <c r="H36" s="1680"/>
      <c r="I36" s="1681"/>
      <c r="J36" s="1651"/>
      <c r="K36" s="1646"/>
      <c r="L36" s="956"/>
    </row>
    <row r="37" spans="2:12" ht="21" customHeight="1">
      <c r="B37" s="566"/>
      <c r="C37" s="566"/>
      <c r="D37" s="566"/>
      <c r="E37" s="566"/>
      <c r="F37" s="566"/>
      <c r="G37" s="601"/>
      <c r="H37" s="1680"/>
      <c r="I37" s="1681"/>
      <c r="J37" s="1651"/>
      <c r="K37" s="1646"/>
      <c r="L37" s="956"/>
    </row>
    <row r="38" spans="2:12" ht="21" customHeight="1">
      <c r="B38" s="566"/>
      <c r="C38" s="566"/>
      <c r="D38" s="566"/>
      <c r="E38" s="566"/>
      <c r="F38" s="566"/>
      <c r="G38" s="601"/>
      <c r="H38" s="1680"/>
      <c r="I38" s="1681"/>
      <c r="J38" s="1651"/>
      <c r="K38" s="1646"/>
      <c r="L38" s="956"/>
    </row>
    <row r="39" spans="2:12" ht="21" customHeight="1" thickBot="1">
      <c r="B39" s="27"/>
      <c r="C39" s="27"/>
      <c r="D39" s="27"/>
      <c r="E39" s="27"/>
      <c r="F39" s="862" t="s">
        <v>260</v>
      </c>
      <c r="G39" s="1085">
        <f>SUM(G31:G38)</f>
        <v>0</v>
      </c>
      <c r="H39" s="1704">
        <f>SUM(H31:I38)</f>
        <v>0</v>
      </c>
      <c r="I39" s="1705"/>
      <c r="J39" s="1094"/>
      <c r="K39" s="861"/>
      <c r="L39" s="868"/>
    </row>
    <row r="40" spans="2:12" ht="13.8" thickTop="1">
      <c r="G40" s="57" t="s">
        <v>110</v>
      </c>
      <c r="H40" s="57"/>
      <c r="I40" s="57" t="s">
        <v>111</v>
      </c>
    </row>
    <row r="47" spans="2:12" ht="13.8">
      <c r="B47" s="1507" t="s">
        <v>189</v>
      </c>
      <c r="C47" s="1507"/>
      <c r="D47" s="1507"/>
      <c r="E47" s="1507"/>
      <c r="F47" s="1507"/>
      <c r="G47" s="1507"/>
      <c r="H47" s="1507"/>
      <c r="I47" s="1507"/>
      <c r="J47" s="1507"/>
      <c r="K47" s="1507"/>
      <c r="L47" s="1507"/>
    </row>
  </sheetData>
  <sheetProtection algorithmName="SHA-512" hashValue="Ago5rx2+Etv4OlTPYAG0tdOunREugIZF1YQL3uQPsEPZWPqUxHzAP2sKUpCQ+SGO5YrCxpsYV15LxM5IgmUrSQ==" saltValue="xtAwVZINp5SqBAW+txTChg=="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1"/>
  <dimension ref="B2:P47"/>
  <sheetViews>
    <sheetView topLeftCell="A28" workbookViewId="0">
      <selection activeCell="S18" sqref="S18"/>
    </sheetView>
  </sheetViews>
  <sheetFormatPr defaultColWidth="9.109375" defaultRowHeight="13.2"/>
  <cols>
    <col min="1" max="4" width="4.6640625" style="322" customWidth="1"/>
    <col min="5" max="5" width="17.88671875" style="322" customWidth="1"/>
    <col min="6" max="6" width="9.109375" style="322"/>
    <col min="7" max="7" width="16.6640625" style="322" customWidth="1"/>
    <col min="8" max="8" width="1.6640625" style="322" customWidth="1"/>
    <col min="9" max="9" width="15.6640625" style="322" customWidth="1"/>
    <col min="10" max="10" width="1.6640625" style="322" customWidth="1"/>
    <col min="11" max="11" width="8.6640625" style="322" customWidth="1"/>
    <col min="12" max="12" width="7.6640625" style="322" customWidth="1"/>
    <col min="13" max="16384" width="9.109375" style="322"/>
  </cols>
  <sheetData>
    <row r="2" spans="2:16" ht="20.399999999999999">
      <c r="B2" s="1508" t="s">
        <v>606</v>
      </c>
      <c r="C2" s="1508"/>
      <c r="D2" s="1508"/>
      <c r="E2" s="1508"/>
      <c r="F2" s="1508"/>
      <c r="G2" s="1508"/>
      <c r="H2" s="1508"/>
      <c r="I2" s="1508"/>
      <c r="J2" s="1508"/>
      <c r="K2" s="1508"/>
      <c r="L2" s="1508"/>
    </row>
    <row r="3" spans="2:16" ht="20.399999999999999">
      <c r="B3" s="1508" t="str">
        <f>" AND "&amp;TEXT('KEY INPUTS'!D33,"0")&amp;" DEBT  SERVICE  FOR  LOANS"</f>
        <v xml:space="preserve"> AND 2020 DEBT  SERVICE  FOR  LOANS</v>
      </c>
      <c r="C3" s="1508"/>
      <c r="D3" s="1508"/>
      <c r="E3" s="1508"/>
      <c r="F3" s="1508"/>
      <c r="G3" s="1508"/>
      <c r="H3" s="1508"/>
      <c r="I3" s="1508"/>
      <c r="J3" s="1508"/>
      <c r="K3" s="1508"/>
      <c r="L3" s="1508"/>
    </row>
    <row r="4" spans="2:16" ht="15.6">
      <c r="B4" s="1690" t="s">
        <v>3467</v>
      </c>
      <c r="C4" s="1690"/>
      <c r="D4" s="1690"/>
      <c r="E4" s="1690"/>
      <c r="F4" s="1690"/>
      <c r="G4" s="1690"/>
      <c r="H4" s="1690"/>
      <c r="I4" s="1690"/>
      <c r="J4" s="1690"/>
      <c r="K4" s="1690"/>
      <c r="L4" s="1690"/>
    </row>
    <row r="5" spans="2:16" ht="9.75" customHeight="1" thickBot="1">
      <c r="B5" s="756"/>
      <c r="C5" s="756"/>
      <c r="D5" s="756"/>
      <c r="E5" s="756"/>
      <c r="F5" s="756"/>
      <c r="G5" s="756"/>
      <c r="H5" s="756"/>
      <c r="I5" s="756"/>
      <c r="J5" s="756"/>
      <c r="K5" s="756"/>
      <c r="L5" s="756"/>
    </row>
    <row r="6" spans="2:16" ht="27.75" customHeight="1" thickTop="1" thickBot="1">
      <c r="B6" s="61"/>
      <c r="C6" s="61"/>
      <c r="D6" s="61"/>
      <c r="E6" s="61"/>
      <c r="F6" s="61"/>
      <c r="G6" s="4" t="s">
        <v>125</v>
      </c>
      <c r="H6" s="1634" t="s">
        <v>126</v>
      </c>
      <c r="I6" s="1553"/>
      <c r="J6" s="1660" t="str">
        <f>'31-Capital Bond Schedule'!J6:L6</f>
        <v>2020  Debt       Service</v>
      </c>
      <c r="K6" s="1676"/>
      <c r="L6" s="1677"/>
    </row>
    <row r="7" spans="2:16" ht="21" customHeight="1" thickTop="1" thickBot="1">
      <c r="B7" s="283" t="str">
        <f>'31-Capital Bond Schedule'!B7</f>
        <v>Outstanding - January 1, 2019</v>
      </c>
      <c r="C7" s="283"/>
      <c r="D7" s="283"/>
      <c r="E7" s="283"/>
      <c r="F7" s="283" t="s">
        <v>112</v>
      </c>
      <c r="G7" s="1090" t="s">
        <v>788</v>
      </c>
      <c r="H7" s="1658"/>
      <c r="I7" s="1659"/>
      <c r="J7" s="74"/>
      <c r="K7" s="286"/>
      <c r="L7" s="812"/>
    </row>
    <row r="8" spans="2:16" ht="21" customHeight="1" thickTop="1">
      <c r="B8" s="323" t="s">
        <v>113</v>
      </c>
      <c r="C8" s="323"/>
      <c r="D8" s="323"/>
      <c r="E8" s="323"/>
      <c r="F8" s="323" t="s">
        <v>114</v>
      </c>
      <c r="G8" s="975" t="s">
        <v>788</v>
      </c>
      <c r="H8" s="1658"/>
      <c r="I8" s="1659"/>
      <c r="J8" s="74"/>
      <c r="K8" s="286"/>
      <c r="L8" s="812"/>
    </row>
    <row r="9" spans="2:16" ht="21" customHeight="1" thickBot="1">
      <c r="B9" s="323" t="s">
        <v>326</v>
      </c>
      <c r="C9" s="323"/>
      <c r="D9" s="323"/>
      <c r="E9" s="323"/>
      <c r="F9" s="323" t="s">
        <v>115</v>
      </c>
      <c r="G9" s="374"/>
      <c r="H9" s="1686" t="s">
        <v>788</v>
      </c>
      <c r="I9" s="1687"/>
      <c r="J9" s="74"/>
      <c r="K9" s="286"/>
      <c r="L9" s="812"/>
    </row>
    <row r="10" spans="2:16" ht="21" customHeight="1" thickTop="1">
      <c r="B10" s="323" t="s">
        <v>186</v>
      </c>
      <c r="C10" s="323"/>
      <c r="D10" s="323"/>
      <c r="E10" s="323"/>
      <c r="F10" s="323"/>
      <c r="G10" s="374"/>
      <c r="H10" s="1658"/>
      <c r="I10" s="1659"/>
      <c r="J10" s="74"/>
      <c r="K10" s="286"/>
      <c r="L10" s="812"/>
    </row>
    <row r="11" spans="2:16" ht="21" customHeight="1">
      <c r="B11" s="566"/>
      <c r="C11" s="566"/>
      <c r="D11" s="566"/>
      <c r="E11" s="566"/>
      <c r="F11" s="566"/>
      <c r="G11" s="601"/>
      <c r="H11" s="1680"/>
      <c r="I11" s="1681"/>
      <c r="J11" s="74"/>
      <c r="K11" s="286"/>
      <c r="L11" s="812"/>
    </row>
    <row r="12" spans="2:16" ht="21" customHeight="1" thickBot="1">
      <c r="B12" s="323" t="str">
        <f>'31-Capital Bond Schedule'!B12</f>
        <v>Outstanding - December 31, 2019</v>
      </c>
      <c r="C12" s="323"/>
      <c r="D12" s="323"/>
      <c r="E12" s="323"/>
      <c r="F12" s="323" t="s">
        <v>116</v>
      </c>
      <c r="G12" s="1091">
        <f>+H7+H8-G9-G10-G11+H10+H11</f>
        <v>0</v>
      </c>
      <c r="H12" s="1678" t="s">
        <v>788</v>
      </c>
      <c r="I12" s="1679"/>
      <c r="J12" s="74"/>
      <c r="K12" s="286"/>
      <c r="L12" s="812"/>
    </row>
    <row r="13" spans="2:16" ht="21" customHeight="1" thickBot="1">
      <c r="G13" s="1085">
        <f>SUM(G7:G12)</f>
        <v>0</v>
      </c>
      <c r="H13" s="1684">
        <f>SUM(H7:I12)</f>
        <v>0</v>
      </c>
      <c r="I13" s="1685"/>
      <c r="J13" s="74"/>
      <c r="K13" s="286"/>
      <c r="L13" s="812"/>
    </row>
    <row r="14" spans="2:16" ht="21" customHeight="1" thickTop="1">
      <c r="B14" s="284" t="str">
        <f>TEXT('KEY INPUTS'!D33,"0")&amp;" Loan Maturities"</f>
        <v>2020 Loan Maturities</v>
      </c>
      <c r="C14" s="284"/>
      <c r="D14" s="284"/>
      <c r="E14" s="284"/>
      <c r="F14" s="284"/>
      <c r="G14" s="284"/>
      <c r="H14" s="284"/>
      <c r="I14" s="121" t="s">
        <v>117</v>
      </c>
      <c r="J14" s="746" t="s">
        <v>482</v>
      </c>
      <c r="K14" s="1672"/>
      <c r="L14" s="1673"/>
      <c r="P14" s="377"/>
    </row>
    <row r="15" spans="2:16" ht="21" customHeight="1">
      <c r="B15" s="323" t="str">
        <f>TEXT('KEY INPUTS'!D33,"0")&amp;" Interest on Loans "</f>
        <v xml:space="preserve">2020 Interest on Loans </v>
      </c>
      <c r="C15" s="323"/>
      <c r="D15" s="323"/>
      <c r="E15" s="323"/>
      <c r="F15" s="323"/>
      <c r="G15" s="49"/>
      <c r="H15" s="323"/>
      <c r="I15" s="101" t="s">
        <v>118</v>
      </c>
      <c r="J15" s="746" t="s">
        <v>482</v>
      </c>
      <c r="K15" s="1672"/>
      <c r="L15" s="1673"/>
    </row>
    <row r="16" spans="2:16" ht="16.5" customHeight="1" thickBot="1">
      <c r="B16" s="1087" t="str">
        <f>"Total "&amp;TEXT('KEY INPUTS'!D33,"0")&amp;" Debt Service for"&amp;"___________________"&amp;"  Loan"</f>
        <v>Total 2020 Debt Service for___________________  Loan</v>
      </c>
      <c r="C16" s="606"/>
      <c r="D16" s="606"/>
      <c r="E16" s="606"/>
      <c r="F16" s="606"/>
      <c r="G16" s="10"/>
      <c r="H16" s="10"/>
      <c r="I16" s="243" t="s">
        <v>703</v>
      </c>
      <c r="J16" s="40" t="s">
        <v>482</v>
      </c>
      <c r="K16" s="1682">
        <f>+K14+K15</f>
        <v>0</v>
      </c>
      <c r="L16" s="1683"/>
    </row>
    <row r="17" spans="2:12" ht="26.25" customHeight="1" thickTop="1" thickBot="1">
      <c r="B17" s="1688" t="s">
        <v>187</v>
      </c>
      <c r="C17" s="1688"/>
      <c r="D17" s="1688"/>
      <c r="E17" s="1688"/>
      <c r="F17" s="1688"/>
      <c r="G17" s="1688"/>
      <c r="H17" s="1688"/>
      <c r="I17" s="1689"/>
      <c r="L17" s="193"/>
    </row>
    <row r="18" spans="2:12" ht="21" customHeight="1" thickTop="1">
      <c r="B18" s="283" t="str">
        <f>B7</f>
        <v>Outstanding - January 1, 2019</v>
      </c>
      <c r="C18" s="283"/>
      <c r="D18" s="283"/>
      <c r="E18" s="283"/>
      <c r="F18" s="283" t="s">
        <v>120</v>
      </c>
      <c r="G18" s="1090" t="s">
        <v>788</v>
      </c>
      <c r="H18" s="1652"/>
      <c r="I18" s="1653"/>
      <c r="L18" s="812"/>
    </row>
    <row r="19" spans="2:12" ht="21" customHeight="1">
      <c r="B19" s="323" t="s">
        <v>113</v>
      </c>
      <c r="C19" s="323"/>
      <c r="D19" s="323"/>
      <c r="E19" s="323"/>
      <c r="F19" s="323" t="s">
        <v>121</v>
      </c>
      <c r="G19" s="975" t="s">
        <v>788</v>
      </c>
      <c r="H19" s="1652"/>
      <c r="I19" s="1653"/>
      <c r="L19" s="812"/>
    </row>
    <row r="20" spans="2:12" ht="21" customHeight="1">
      <c r="B20" s="323" t="s">
        <v>326</v>
      </c>
      <c r="C20" s="323"/>
      <c r="D20" s="323"/>
      <c r="E20" s="323"/>
      <c r="F20" s="323" t="s">
        <v>122</v>
      </c>
      <c r="G20" s="374"/>
      <c r="H20" s="1686" t="s">
        <v>788</v>
      </c>
      <c r="I20" s="1687"/>
      <c r="L20" s="812"/>
    </row>
    <row r="21" spans="2:12" ht="21" customHeight="1">
      <c r="B21" s="566"/>
      <c r="C21" s="566"/>
      <c r="D21" s="566"/>
      <c r="E21" s="566"/>
      <c r="F21" s="566"/>
      <c r="G21" s="601"/>
      <c r="H21" s="1708"/>
      <c r="I21" s="1709"/>
      <c r="L21" s="812"/>
    </row>
    <row r="22" spans="2:12" ht="21" customHeight="1">
      <c r="B22" s="566"/>
      <c r="C22" s="566"/>
      <c r="D22" s="566"/>
      <c r="E22" s="566"/>
      <c r="F22" s="566"/>
      <c r="G22" s="601"/>
      <c r="H22" s="1708"/>
      <c r="I22" s="1709"/>
      <c r="L22" s="812"/>
    </row>
    <row r="23" spans="2:12" ht="21" customHeight="1" thickBot="1">
      <c r="B23" s="323" t="str">
        <f>B12</f>
        <v>Outstanding - December 31, 2019</v>
      </c>
      <c r="C23" s="323"/>
      <c r="D23" s="323"/>
      <c r="E23" s="323"/>
      <c r="F23" s="323" t="s">
        <v>699</v>
      </c>
      <c r="G23" s="1091">
        <f>+H18+H19-G20-G21-G22+H21+H22</f>
        <v>0</v>
      </c>
      <c r="H23" s="1678" t="s">
        <v>788</v>
      </c>
      <c r="I23" s="1679"/>
      <c r="L23" s="812"/>
    </row>
    <row r="24" spans="2:12" ht="21" customHeight="1" thickBot="1">
      <c r="G24" s="1085">
        <f>SUM(G18:G23)</f>
        <v>0</v>
      </c>
      <c r="H24" s="1684">
        <f>SUM(H18:I23)</f>
        <v>0</v>
      </c>
      <c r="I24" s="1685"/>
      <c r="K24" s="286"/>
      <c r="L24" s="812"/>
    </row>
    <row r="25" spans="2:12" ht="21" customHeight="1" thickTop="1">
      <c r="B25" s="284" t="str">
        <f>B14</f>
        <v>2020 Loan Maturities</v>
      </c>
      <c r="C25" s="284"/>
      <c r="D25" s="284"/>
      <c r="E25" s="284"/>
      <c r="F25" s="284"/>
      <c r="G25" s="284"/>
      <c r="H25" s="284"/>
      <c r="I25" s="121" t="s">
        <v>700</v>
      </c>
      <c r="J25" s="284" t="s">
        <v>482</v>
      </c>
      <c r="K25" s="1672"/>
      <c r="L25" s="1673"/>
    </row>
    <row r="26" spans="2:12" ht="21" customHeight="1">
      <c r="B26" s="323" t="str">
        <f>B15</f>
        <v xml:space="preserve">2020 Interest on Loans </v>
      </c>
      <c r="C26" s="323"/>
      <c r="D26" s="323"/>
      <c r="E26" s="323"/>
      <c r="F26" s="323"/>
      <c r="G26" s="49"/>
      <c r="H26" s="323"/>
      <c r="I26" s="101" t="s">
        <v>188</v>
      </c>
      <c r="J26" s="284" t="s">
        <v>482</v>
      </c>
      <c r="K26" s="1672"/>
      <c r="L26" s="1673"/>
    </row>
    <row r="27" spans="2:12" ht="21" customHeight="1" thickBot="1">
      <c r="B27" s="1089" t="str">
        <f>"Total "&amp;TEXT('KEY INPUTS'!D33,"0")&amp;" Debt Service for __________________________ Loan"</f>
        <v>Total 2020 Debt Service for __________________________ Loan</v>
      </c>
      <c r="C27" s="1088"/>
      <c r="D27" s="1088"/>
      <c r="E27" s="1088"/>
      <c r="F27" s="1088"/>
      <c r="G27" s="1088"/>
      <c r="H27" s="10"/>
      <c r="I27" s="243" t="s">
        <v>703</v>
      </c>
      <c r="J27" s="10" t="s">
        <v>482</v>
      </c>
      <c r="K27" s="1702">
        <f>+K25+K26</f>
        <v>0</v>
      </c>
      <c r="L27" s="1703"/>
    </row>
    <row r="28" spans="2:12" ht="21" customHeight="1" thickTop="1"/>
    <row r="29" spans="2:12" ht="21" customHeight="1" thickBot="1">
      <c r="B29" s="1654" t="str">
        <f>"LIST  OF  LOANS  ISSUED  DURING "&amp;TEXT('KEY INPUTS'!D34,"0")</f>
        <v>LIST  OF  LOANS  ISSUED  DURING 2019</v>
      </c>
      <c r="C29" s="1654"/>
      <c r="D29" s="1654"/>
      <c r="E29" s="1654"/>
      <c r="F29" s="1654"/>
      <c r="G29" s="1654"/>
      <c r="H29" s="1654"/>
      <c r="I29" s="1654"/>
      <c r="J29" s="1654"/>
      <c r="K29" s="1654"/>
      <c r="L29" s="1654"/>
    </row>
    <row r="30" spans="2:12" ht="27" customHeight="1" thickTop="1" thickBot="1">
      <c r="B30" s="1552" t="s">
        <v>532</v>
      </c>
      <c r="C30" s="1552"/>
      <c r="D30" s="1552"/>
      <c r="E30" s="1552"/>
      <c r="F30" s="1552"/>
      <c r="G30" s="4" t="str">
        <f>'31-Capital Bond Schedule'!G30</f>
        <v>2020 Maturity</v>
      </c>
      <c r="H30" s="1634" t="s">
        <v>109</v>
      </c>
      <c r="I30" s="1553"/>
      <c r="J30" s="1660" t="s">
        <v>107</v>
      </c>
      <c r="K30" s="1661"/>
      <c r="L30" s="813" t="s">
        <v>108</v>
      </c>
    </row>
    <row r="31" spans="2:12" ht="21" customHeight="1" thickTop="1">
      <c r="B31" s="569"/>
      <c r="C31" s="569"/>
      <c r="D31" s="569"/>
      <c r="E31" s="569"/>
      <c r="F31" s="569"/>
      <c r="G31" s="605"/>
      <c r="H31" s="1706"/>
      <c r="I31" s="1707"/>
      <c r="J31" s="1699"/>
      <c r="K31" s="1649"/>
      <c r="L31" s="814"/>
    </row>
    <row r="32" spans="2:12" ht="21" customHeight="1">
      <c r="B32" s="566"/>
      <c r="C32" s="566"/>
      <c r="D32" s="566"/>
      <c r="E32" s="566"/>
      <c r="F32" s="566"/>
      <c r="G32" s="601"/>
      <c r="H32" s="1680"/>
      <c r="I32" s="1681"/>
      <c r="J32" s="1651"/>
      <c r="K32" s="1646"/>
      <c r="L32" s="624"/>
    </row>
    <row r="33" spans="2:12" ht="21" customHeight="1">
      <c r="B33" s="566"/>
      <c r="C33" s="566"/>
      <c r="D33" s="566"/>
      <c r="E33" s="566"/>
      <c r="F33" s="566"/>
      <c r="G33" s="601"/>
      <c r="H33" s="1680"/>
      <c r="I33" s="1681"/>
      <c r="J33" s="1651"/>
      <c r="K33" s="1646"/>
      <c r="L33" s="624"/>
    </row>
    <row r="34" spans="2:12" ht="21" customHeight="1">
      <c r="B34" s="566"/>
      <c r="C34" s="566"/>
      <c r="D34" s="566"/>
      <c r="E34" s="566"/>
      <c r="F34" s="566"/>
      <c r="G34" s="601"/>
      <c r="H34" s="1680"/>
      <c r="I34" s="1681"/>
      <c r="J34" s="1651"/>
      <c r="K34" s="1646"/>
      <c r="L34" s="624"/>
    </row>
    <row r="35" spans="2:12" ht="21" customHeight="1">
      <c r="B35" s="566"/>
      <c r="C35" s="566"/>
      <c r="D35" s="566"/>
      <c r="E35" s="566"/>
      <c r="F35" s="566"/>
      <c r="G35" s="601"/>
      <c r="H35" s="1680"/>
      <c r="I35" s="1681"/>
      <c r="J35" s="1651"/>
      <c r="K35" s="1646"/>
      <c r="L35" s="624"/>
    </row>
    <row r="36" spans="2:12" ht="21" customHeight="1">
      <c r="B36" s="566"/>
      <c r="C36" s="566"/>
      <c r="D36" s="566"/>
      <c r="E36" s="566"/>
      <c r="F36" s="566"/>
      <c r="G36" s="601"/>
      <c r="H36" s="1680"/>
      <c r="I36" s="1681"/>
      <c r="J36" s="1651"/>
      <c r="K36" s="1646"/>
      <c r="L36" s="624"/>
    </row>
    <row r="37" spans="2:12" ht="21" customHeight="1">
      <c r="B37" s="566"/>
      <c r="C37" s="566"/>
      <c r="D37" s="566"/>
      <c r="E37" s="566"/>
      <c r="F37" s="566"/>
      <c r="G37" s="601"/>
      <c r="H37" s="1680"/>
      <c r="I37" s="1681"/>
      <c r="J37" s="1651"/>
      <c r="K37" s="1646"/>
      <c r="L37" s="624"/>
    </row>
    <row r="38" spans="2:12" ht="21" customHeight="1">
      <c r="B38" s="566"/>
      <c r="C38" s="566"/>
      <c r="D38" s="566"/>
      <c r="E38" s="566"/>
      <c r="F38" s="566"/>
      <c r="G38" s="601"/>
      <c r="H38" s="1680"/>
      <c r="I38" s="1681"/>
      <c r="J38" s="1651"/>
      <c r="K38" s="1646"/>
      <c r="L38" s="624"/>
    </row>
    <row r="39" spans="2:12" ht="21" customHeight="1" thickBot="1">
      <c r="B39" s="27"/>
      <c r="C39" s="27"/>
      <c r="D39" s="27"/>
      <c r="E39" s="27"/>
      <c r="F39" s="862" t="s">
        <v>260</v>
      </c>
      <c r="G39" s="1085">
        <f>SUM(G31:G38)</f>
        <v>0</v>
      </c>
      <c r="H39" s="1704">
        <f>SUM(H31:I38)</f>
        <v>0</v>
      </c>
      <c r="I39" s="1705"/>
      <c r="J39" s="40"/>
      <c r="K39" s="861"/>
      <c r="L39" s="868"/>
    </row>
    <row r="40" spans="2:12" ht="13.8" thickTop="1">
      <c r="G40" s="761" t="s">
        <v>110</v>
      </c>
      <c r="H40" s="761"/>
      <c r="I40" s="761" t="s">
        <v>111</v>
      </c>
    </row>
    <row r="47" spans="2:12" ht="13.8">
      <c r="B47" s="1507" t="s">
        <v>3623</v>
      </c>
      <c r="C47" s="1507"/>
      <c r="D47" s="1507"/>
      <c r="E47" s="1507"/>
      <c r="F47" s="1507"/>
      <c r="G47" s="1507"/>
      <c r="H47" s="1507"/>
      <c r="I47" s="1507"/>
      <c r="J47" s="1507"/>
      <c r="K47" s="1507"/>
      <c r="L47" s="1507"/>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2"/>
  <dimension ref="B2:P47"/>
  <sheetViews>
    <sheetView topLeftCell="A31" workbookViewId="0">
      <selection activeCell="B1" sqref="B1"/>
    </sheetView>
  </sheetViews>
  <sheetFormatPr defaultColWidth="9.109375" defaultRowHeight="13.2"/>
  <cols>
    <col min="1" max="4" width="4.6640625" style="322" customWidth="1"/>
    <col min="5" max="5" width="17.88671875" style="322" customWidth="1"/>
    <col min="6" max="6" width="9.109375" style="322"/>
    <col min="7" max="7" width="16.6640625" style="322" customWidth="1"/>
    <col min="8" max="8" width="1.6640625" style="322" customWidth="1"/>
    <col min="9" max="9" width="15.6640625" style="322" customWidth="1"/>
    <col min="10" max="10" width="1.6640625" style="322" customWidth="1"/>
    <col min="11" max="11" width="8.6640625" style="322" customWidth="1"/>
    <col min="12" max="12" width="7.6640625" style="322" customWidth="1"/>
    <col min="13" max="16384" width="9.109375" style="322"/>
  </cols>
  <sheetData>
    <row r="2" spans="2:16" ht="20.399999999999999">
      <c r="B2" s="1508" t="s">
        <v>606</v>
      </c>
      <c r="C2" s="1508"/>
      <c r="D2" s="1508"/>
      <c r="E2" s="1508"/>
      <c r="F2" s="1508"/>
      <c r="G2" s="1508"/>
      <c r="H2" s="1508"/>
      <c r="I2" s="1508"/>
      <c r="J2" s="1508"/>
      <c r="K2" s="1508"/>
      <c r="L2" s="1508"/>
    </row>
    <row r="3" spans="2:16" ht="20.399999999999999">
      <c r="B3" s="1508" t="str">
        <f>" AND "&amp;TEXT('KEY INPUTS'!D33,"0")&amp;" DEBT  SERVICE  FOR  LOANS"</f>
        <v xml:space="preserve"> AND 2020 DEBT  SERVICE  FOR  LOANS</v>
      </c>
      <c r="C3" s="1508"/>
      <c r="D3" s="1508"/>
      <c r="E3" s="1508"/>
      <c r="F3" s="1508"/>
      <c r="G3" s="1508"/>
      <c r="H3" s="1508"/>
      <c r="I3" s="1508"/>
      <c r="J3" s="1508"/>
      <c r="K3" s="1508"/>
      <c r="L3" s="1508"/>
    </row>
    <row r="4" spans="2:16" ht="15.6">
      <c r="B4" s="1690" t="s">
        <v>3467</v>
      </c>
      <c r="C4" s="1690"/>
      <c r="D4" s="1690"/>
      <c r="E4" s="1690"/>
      <c r="F4" s="1690"/>
      <c r="G4" s="1690"/>
      <c r="H4" s="1690"/>
      <c r="I4" s="1690"/>
      <c r="J4" s="1690"/>
      <c r="K4" s="1690"/>
      <c r="L4" s="1690"/>
    </row>
    <row r="5" spans="2:16" ht="9.75" customHeight="1" thickBot="1">
      <c r="B5" s="756"/>
      <c r="C5" s="756"/>
      <c r="D5" s="756"/>
      <c r="E5" s="756"/>
      <c r="F5" s="756"/>
      <c r="G5" s="756"/>
      <c r="H5" s="756"/>
      <c r="I5" s="756"/>
      <c r="J5" s="756"/>
      <c r="K5" s="756"/>
      <c r="L5" s="756"/>
    </row>
    <row r="6" spans="2:16" ht="27.75" customHeight="1" thickTop="1" thickBot="1">
      <c r="B6" s="1046"/>
      <c r="C6" s="1046"/>
      <c r="D6" s="1046"/>
      <c r="E6" s="1046"/>
      <c r="F6" s="1046"/>
      <c r="G6" s="969" t="s">
        <v>125</v>
      </c>
      <c r="H6" s="1694" t="s">
        <v>126</v>
      </c>
      <c r="I6" s="1570"/>
      <c r="J6" s="1691" t="str">
        <f>'31-Capital Bond Schedule'!J6:L6</f>
        <v>2020  Debt       Service</v>
      </c>
      <c r="K6" s="1692"/>
      <c r="L6" s="1693"/>
    </row>
    <row r="7" spans="2:16" ht="21" customHeight="1" thickTop="1">
      <c r="B7" s="283" t="str">
        <f>'31-Capital Bond Schedule'!B7</f>
        <v>Outstanding - January 1, 2019</v>
      </c>
      <c r="C7" s="283"/>
      <c r="D7" s="283"/>
      <c r="E7" s="283"/>
      <c r="F7" s="283" t="s">
        <v>112</v>
      </c>
      <c r="G7" s="1090" t="s">
        <v>788</v>
      </c>
      <c r="H7" s="1695"/>
      <c r="I7" s="1696"/>
      <c r="J7" s="74"/>
      <c r="K7" s="286"/>
      <c r="L7" s="812"/>
    </row>
    <row r="8" spans="2:16" ht="21" customHeight="1">
      <c r="B8" s="323" t="s">
        <v>113</v>
      </c>
      <c r="C8" s="323"/>
      <c r="D8" s="323"/>
      <c r="E8" s="323"/>
      <c r="F8" s="323" t="s">
        <v>114</v>
      </c>
      <c r="G8" s="975" t="s">
        <v>788</v>
      </c>
      <c r="H8" s="1652"/>
      <c r="I8" s="1653"/>
      <c r="J8" s="74"/>
      <c r="K8" s="286"/>
      <c r="L8" s="812"/>
    </row>
    <row r="9" spans="2:16" ht="21" customHeight="1">
      <c r="B9" s="323" t="s">
        <v>326</v>
      </c>
      <c r="C9" s="323"/>
      <c r="D9" s="323"/>
      <c r="E9" s="323"/>
      <c r="F9" s="323" t="s">
        <v>115</v>
      </c>
      <c r="G9" s="374"/>
      <c r="H9" s="1697" t="s">
        <v>788</v>
      </c>
      <c r="I9" s="1698"/>
      <c r="J9" s="74"/>
      <c r="K9" s="286"/>
      <c r="L9" s="812"/>
    </row>
    <row r="10" spans="2:16" ht="21" customHeight="1">
      <c r="B10" s="323" t="s">
        <v>186</v>
      </c>
      <c r="C10" s="323"/>
      <c r="D10" s="323"/>
      <c r="E10" s="323"/>
      <c r="F10" s="323"/>
      <c r="G10" s="374"/>
      <c r="H10" s="1652"/>
      <c r="I10" s="1653"/>
      <c r="J10" s="74"/>
      <c r="K10" s="286"/>
      <c r="L10" s="812"/>
    </row>
    <row r="11" spans="2:16" ht="21" customHeight="1">
      <c r="B11" s="566"/>
      <c r="C11" s="566"/>
      <c r="D11" s="566"/>
      <c r="E11" s="566"/>
      <c r="F11" s="566"/>
      <c r="G11" s="601"/>
      <c r="H11" s="1680"/>
      <c r="I11" s="1681"/>
      <c r="J11" s="74"/>
      <c r="K11" s="286"/>
      <c r="L11" s="812"/>
    </row>
    <row r="12" spans="2:16" ht="21" customHeight="1" thickBot="1">
      <c r="B12" s="323" t="str">
        <f>'31-Capital Bond Schedule'!B12</f>
        <v>Outstanding - December 31, 2019</v>
      </c>
      <c r="C12" s="323"/>
      <c r="D12" s="323"/>
      <c r="E12" s="323"/>
      <c r="F12" s="323" t="s">
        <v>116</v>
      </c>
      <c r="G12" s="1091">
        <f>+H7+H8-G9-G10-G11+H10+H11</f>
        <v>0</v>
      </c>
      <c r="H12" s="1678" t="s">
        <v>788</v>
      </c>
      <c r="I12" s="1679"/>
      <c r="J12" s="74"/>
      <c r="K12" s="286"/>
      <c r="L12" s="812"/>
    </row>
    <row r="13" spans="2:16" ht="21" customHeight="1" thickBot="1">
      <c r="G13" s="1085">
        <f>SUM(G7:G12)</f>
        <v>0</v>
      </c>
      <c r="H13" s="1684">
        <f>SUM(H7:I12)</f>
        <v>0</v>
      </c>
      <c r="I13" s="1685"/>
      <c r="J13" s="74"/>
      <c r="K13" s="286"/>
      <c r="L13" s="812"/>
    </row>
    <row r="14" spans="2:16" ht="21" customHeight="1" thickTop="1">
      <c r="B14" s="284" t="str">
        <f>TEXT('KEY INPUTS'!D33,"0")&amp;" Loan Maturities"</f>
        <v>2020 Loan Maturities</v>
      </c>
      <c r="C14" s="284"/>
      <c r="D14" s="284"/>
      <c r="E14" s="284"/>
      <c r="F14" s="284"/>
      <c r="G14" s="284"/>
      <c r="H14" s="284"/>
      <c r="I14" s="1051" t="s">
        <v>117</v>
      </c>
      <c r="J14" s="284" t="s">
        <v>482</v>
      </c>
      <c r="K14" s="1672"/>
      <c r="L14" s="1673"/>
      <c r="P14" s="377"/>
    </row>
    <row r="15" spans="2:16" ht="21" customHeight="1">
      <c r="B15" s="323" t="str">
        <f>TEXT('KEY INPUTS'!D33,"0")&amp;" Interest on Loans "</f>
        <v xml:space="preserve">2020 Interest on Loans </v>
      </c>
      <c r="C15" s="323"/>
      <c r="D15" s="323"/>
      <c r="E15" s="323"/>
      <c r="F15" s="323"/>
      <c r="G15" s="49"/>
      <c r="H15" s="323"/>
      <c r="I15" s="1092" t="s">
        <v>118</v>
      </c>
      <c r="J15" s="284" t="s">
        <v>482</v>
      </c>
      <c r="K15" s="1672"/>
      <c r="L15" s="1673"/>
    </row>
    <row r="16" spans="2:16" ht="16.5" customHeight="1" thickBot="1">
      <c r="B16" s="1087" t="str">
        <f>"Total "&amp;TEXT('KEY INPUTS'!D33,"0")&amp;" Debt Service for"&amp;"___________________"&amp;"  Loan"</f>
        <v>Total 2020 Debt Service for___________________  Loan</v>
      </c>
      <c r="C16" s="606"/>
      <c r="D16" s="606"/>
      <c r="E16" s="606"/>
      <c r="F16" s="606"/>
      <c r="G16" s="10"/>
      <c r="H16" s="10"/>
      <c r="I16" s="1093" t="s">
        <v>703</v>
      </c>
      <c r="J16" s="40" t="s">
        <v>482</v>
      </c>
      <c r="K16" s="1682">
        <f>+K14+K15</f>
        <v>0</v>
      </c>
      <c r="L16" s="1683"/>
    </row>
    <row r="17" spans="2:12" ht="26.25" customHeight="1" thickTop="1" thickBot="1">
      <c r="B17" s="1688" t="s">
        <v>187</v>
      </c>
      <c r="C17" s="1688"/>
      <c r="D17" s="1688"/>
      <c r="E17" s="1688"/>
      <c r="F17" s="1688"/>
      <c r="G17" s="1688"/>
      <c r="H17" s="1688"/>
      <c r="I17" s="1689"/>
      <c r="L17" s="193"/>
    </row>
    <row r="18" spans="2:12" ht="21" customHeight="1" thickTop="1">
      <c r="B18" s="283" t="str">
        <f>B7</f>
        <v>Outstanding - January 1, 2019</v>
      </c>
      <c r="C18" s="283"/>
      <c r="D18" s="283"/>
      <c r="E18" s="283"/>
      <c r="F18" s="283" t="s">
        <v>120</v>
      </c>
      <c r="G18" s="1090" t="s">
        <v>788</v>
      </c>
      <c r="H18" s="1652"/>
      <c r="I18" s="1653"/>
      <c r="L18" s="812"/>
    </row>
    <row r="19" spans="2:12" ht="21" customHeight="1">
      <c r="B19" s="323" t="s">
        <v>113</v>
      </c>
      <c r="C19" s="323"/>
      <c r="D19" s="323"/>
      <c r="E19" s="323"/>
      <c r="F19" s="323" t="s">
        <v>121</v>
      </c>
      <c r="G19" s="975" t="s">
        <v>788</v>
      </c>
      <c r="H19" s="1652"/>
      <c r="I19" s="1653"/>
      <c r="L19" s="812"/>
    </row>
    <row r="20" spans="2:12" ht="21" customHeight="1">
      <c r="B20" s="323" t="s">
        <v>326</v>
      </c>
      <c r="C20" s="323"/>
      <c r="D20" s="323"/>
      <c r="E20" s="323"/>
      <c r="F20" s="323" t="s">
        <v>122</v>
      </c>
      <c r="G20" s="374"/>
      <c r="H20" s="1686" t="s">
        <v>788</v>
      </c>
      <c r="I20" s="1687"/>
      <c r="L20" s="812"/>
    </row>
    <row r="21" spans="2:12" ht="21" customHeight="1">
      <c r="B21" s="566"/>
      <c r="C21" s="566"/>
      <c r="D21" s="566"/>
      <c r="E21" s="566"/>
      <c r="F21" s="566"/>
      <c r="G21" s="601"/>
      <c r="H21" s="1680"/>
      <c r="I21" s="1681"/>
      <c r="L21" s="812"/>
    </row>
    <row r="22" spans="2:12" ht="21" customHeight="1">
      <c r="B22" s="566"/>
      <c r="C22" s="566"/>
      <c r="D22" s="566"/>
      <c r="E22" s="566"/>
      <c r="F22" s="566"/>
      <c r="G22" s="601"/>
      <c r="H22" s="1680"/>
      <c r="I22" s="1681"/>
      <c r="L22" s="812"/>
    </row>
    <row r="23" spans="2:12" ht="21" customHeight="1" thickBot="1">
      <c r="B23" s="323" t="str">
        <f>B12</f>
        <v>Outstanding - December 31, 2019</v>
      </c>
      <c r="C23" s="323"/>
      <c r="D23" s="323"/>
      <c r="E23" s="323"/>
      <c r="F23" s="323" t="s">
        <v>699</v>
      </c>
      <c r="G23" s="1091">
        <f>+H18+H19-G20-G21-G22+H21+H22</f>
        <v>0</v>
      </c>
      <c r="H23" s="1678" t="s">
        <v>788</v>
      </c>
      <c r="I23" s="1679"/>
      <c r="L23" s="812"/>
    </row>
    <row r="24" spans="2:12" ht="21" customHeight="1" thickBot="1">
      <c r="G24" s="1085">
        <f>SUM(G18:G23)</f>
        <v>0</v>
      </c>
      <c r="H24" s="1684">
        <f>SUM(H18:I23)</f>
        <v>0</v>
      </c>
      <c r="I24" s="1685"/>
      <c r="K24" s="286"/>
      <c r="L24" s="812"/>
    </row>
    <row r="25" spans="2:12" ht="21" customHeight="1" thickTop="1">
      <c r="B25" s="284" t="str">
        <f>B14</f>
        <v>2020 Loan Maturities</v>
      </c>
      <c r="C25" s="284"/>
      <c r="D25" s="284"/>
      <c r="E25" s="284"/>
      <c r="F25" s="284"/>
      <c r="G25" s="284"/>
      <c r="H25" s="284"/>
      <c r="I25" s="1051" t="s">
        <v>700</v>
      </c>
      <c r="J25" s="284" t="s">
        <v>482</v>
      </c>
      <c r="K25" s="1672"/>
      <c r="L25" s="1673"/>
    </row>
    <row r="26" spans="2:12" ht="21" customHeight="1">
      <c r="B26" s="323" t="str">
        <f>B15</f>
        <v xml:space="preserve">2020 Interest on Loans </v>
      </c>
      <c r="C26" s="323"/>
      <c r="D26" s="323"/>
      <c r="E26" s="323"/>
      <c r="F26" s="323"/>
      <c r="G26" s="49"/>
      <c r="H26" s="323"/>
      <c r="I26" s="1092" t="s">
        <v>188</v>
      </c>
      <c r="J26" s="284" t="s">
        <v>482</v>
      </c>
      <c r="K26" s="1672"/>
      <c r="L26" s="1673"/>
    </row>
    <row r="27" spans="2:12" ht="21" customHeight="1" thickBot="1">
      <c r="B27" s="1089" t="str">
        <f>"Total "&amp;TEXT('KEY INPUTS'!D33,"0")&amp;" Debt Service for __________________________ Loan"</f>
        <v>Total 2020 Debt Service for __________________________ Loan</v>
      </c>
      <c r="C27" s="1088"/>
      <c r="D27" s="1088"/>
      <c r="E27" s="1088"/>
      <c r="F27" s="1088"/>
      <c r="G27" s="1088"/>
      <c r="H27" s="10"/>
      <c r="I27" s="1093" t="s">
        <v>703</v>
      </c>
      <c r="J27" s="10" t="s">
        <v>482</v>
      </c>
      <c r="K27" s="1702">
        <f>+K25+K26</f>
        <v>0</v>
      </c>
      <c r="L27" s="1703"/>
    </row>
    <row r="28" spans="2:12" ht="21" customHeight="1" thickTop="1"/>
    <row r="29" spans="2:12" ht="21" customHeight="1" thickBot="1">
      <c r="B29" s="1654" t="str">
        <f>"LIST  OF  LOANS  ISSUED  DURING "&amp;TEXT('KEY INPUTS'!D34,"0")</f>
        <v>LIST  OF  LOANS  ISSUED  DURING 2019</v>
      </c>
      <c r="C29" s="1654"/>
      <c r="D29" s="1654"/>
      <c r="E29" s="1654"/>
      <c r="F29" s="1654"/>
      <c r="G29" s="1654"/>
      <c r="H29" s="1654"/>
      <c r="I29" s="1654"/>
      <c r="J29" s="1654"/>
      <c r="K29" s="1654"/>
      <c r="L29" s="1654"/>
    </row>
    <row r="30" spans="2:12" ht="27" customHeight="1" thickTop="1" thickBot="1">
      <c r="B30" s="1552" t="s">
        <v>532</v>
      </c>
      <c r="C30" s="1552"/>
      <c r="D30" s="1552"/>
      <c r="E30" s="1552"/>
      <c r="F30" s="1552"/>
      <c r="G30" s="4" t="str">
        <f>'31-Capital Bond Schedule'!G30</f>
        <v>2020 Maturity</v>
      </c>
      <c r="H30" s="1634" t="s">
        <v>109</v>
      </c>
      <c r="I30" s="1553"/>
      <c r="J30" s="1660" t="s">
        <v>107</v>
      </c>
      <c r="K30" s="1661"/>
      <c r="L30" s="813" t="s">
        <v>108</v>
      </c>
    </row>
    <row r="31" spans="2:12" ht="21" customHeight="1" thickTop="1">
      <c r="B31" s="569"/>
      <c r="C31" s="569"/>
      <c r="D31" s="569"/>
      <c r="E31" s="569"/>
      <c r="F31" s="569"/>
      <c r="G31" s="605"/>
      <c r="H31" s="1706"/>
      <c r="I31" s="1707"/>
      <c r="J31" s="1699"/>
      <c r="K31" s="1649"/>
      <c r="L31" s="814"/>
    </row>
    <row r="32" spans="2:12" ht="21" customHeight="1">
      <c r="B32" s="566"/>
      <c r="C32" s="566"/>
      <c r="D32" s="566"/>
      <c r="E32" s="566"/>
      <c r="F32" s="566"/>
      <c r="G32" s="601"/>
      <c r="H32" s="1680"/>
      <c r="I32" s="1681"/>
      <c r="J32" s="1651"/>
      <c r="K32" s="1646"/>
      <c r="L32" s="624"/>
    </row>
    <row r="33" spans="2:12" ht="21" customHeight="1">
      <c r="B33" s="566"/>
      <c r="C33" s="566"/>
      <c r="D33" s="566"/>
      <c r="E33" s="566"/>
      <c r="F33" s="566"/>
      <c r="G33" s="601"/>
      <c r="H33" s="1680"/>
      <c r="I33" s="1681"/>
      <c r="J33" s="1651"/>
      <c r="K33" s="1646"/>
      <c r="L33" s="624"/>
    </row>
    <row r="34" spans="2:12" ht="21" customHeight="1">
      <c r="B34" s="566"/>
      <c r="C34" s="566"/>
      <c r="D34" s="566"/>
      <c r="E34" s="566"/>
      <c r="F34" s="566"/>
      <c r="G34" s="601"/>
      <c r="H34" s="1680"/>
      <c r="I34" s="1681"/>
      <c r="J34" s="1651"/>
      <c r="K34" s="1646"/>
      <c r="L34" s="624"/>
    </row>
    <row r="35" spans="2:12" ht="21" customHeight="1">
      <c r="B35" s="566"/>
      <c r="C35" s="566"/>
      <c r="D35" s="566"/>
      <c r="E35" s="566"/>
      <c r="F35" s="566"/>
      <c r="G35" s="601"/>
      <c r="H35" s="1680"/>
      <c r="I35" s="1681"/>
      <c r="J35" s="1651"/>
      <c r="K35" s="1646"/>
      <c r="L35" s="624"/>
    </row>
    <row r="36" spans="2:12" ht="21" customHeight="1">
      <c r="B36" s="566"/>
      <c r="C36" s="566"/>
      <c r="D36" s="566"/>
      <c r="E36" s="566"/>
      <c r="F36" s="566"/>
      <c r="G36" s="601"/>
      <c r="H36" s="1680"/>
      <c r="I36" s="1681"/>
      <c r="J36" s="1651"/>
      <c r="K36" s="1646"/>
      <c r="L36" s="624"/>
    </row>
    <row r="37" spans="2:12" ht="21" customHeight="1">
      <c r="B37" s="566"/>
      <c r="C37" s="566"/>
      <c r="D37" s="566"/>
      <c r="E37" s="566"/>
      <c r="F37" s="566"/>
      <c r="G37" s="601"/>
      <c r="H37" s="1680"/>
      <c r="I37" s="1681"/>
      <c r="J37" s="1651"/>
      <c r="K37" s="1646"/>
      <c r="L37" s="624"/>
    </row>
    <row r="38" spans="2:12" ht="21" customHeight="1">
      <c r="B38" s="566"/>
      <c r="C38" s="566"/>
      <c r="D38" s="566"/>
      <c r="E38" s="566"/>
      <c r="F38" s="566"/>
      <c r="G38" s="601"/>
      <c r="H38" s="1680"/>
      <c r="I38" s="1681"/>
      <c r="J38" s="1651"/>
      <c r="K38" s="1646"/>
      <c r="L38" s="624"/>
    </row>
    <row r="39" spans="2:12" ht="21" customHeight="1" thickBot="1">
      <c r="B39" s="27"/>
      <c r="C39" s="27"/>
      <c r="D39" s="27"/>
      <c r="E39" s="27"/>
      <c r="F39" s="862" t="s">
        <v>260</v>
      </c>
      <c r="G39" s="1085">
        <f>SUM(G31:G38)</f>
        <v>0</v>
      </c>
      <c r="H39" s="1704">
        <f>SUM(H31:I38)</f>
        <v>0</v>
      </c>
      <c r="I39" s="1705"/>
      <c r="J39" s="40"/>
      <c r="K39" s="861"/>
      <c r="L39" s="868"/>
    </row>
    <row r="40" spans="2:12" ht="13.8" thickTop="1">
      <c r="G40" s="761" t="s">
        <v>110</v>
      </c>
      <c r="H40" s="761"/>
      <c r="I40" s="761" t="s">
        <v>111</v>
      </c>
    </row>
    <row r="47" spans="2:12" ht="13.8">
      <c r="B47" s="1507" t="s">
        <v>3622</v>
      </c>
      <c r="C47" s="1507"/>
      <c r="D47" s="1507"/>
      <c r="E47" s="1507"/>
      <c r="F47" s="1507"/>
      <c r="G47" s="1507"/>
      <c r="H47" s="1507"/>
      <c r="I47" s="1507"/>
      <c r="J47" s="1507"/>
      <c r="K47" s="1507"/>
      <c r="L47" s="1507"/>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dimension ref="B2:W48"/>
  <sheetViews>
    <sheetView topLeftCell="A28" zoomScaleNormal="100" workbookViewId="0">
      <selection activeCell="K42" sqref="K42:L42"/>
    </sheetView>
  </sheetViews>
  <sheetFormatPr defaultRowHeight="13.2"/>
  <cols>
    <col min="1" max="4" width="4.6640625" customWidth="1"/>
    <col min="5" max="5" width="17.88671875" customWidth="1"/>
    <col min="7" max="7" width="16.6640625" customWidth="1"/>
    <col min="8" max="8" width="1.6640625" customWidth="1"/>
    <col min="9" max="9" width="15.6640625" customWidth="1"/>
    <col min="10" max="10" width="1.6640625" customWidth="1"/>
    <col min="11" max="11" width="8.6640625" customWidth="1"/>
    <col min="12" max="12" width="7.6640625" customWidth="1"/>
  </cols>
  <sheetData>
    <row r="2" spans="2:23" ht="20.399999999999999">
      <c r="B2" s="1508" t="s">
        <v>160</v>
      </c>
      <c r="C2" s="1508"/>
      <c r="D2" s="1508"/>
      <c r="E2" s="1508"/>
      <c r="F2" s="1508"/>
      <c r="G2" s="1508"/>
      <c r="H2" s="1508"/>
      <c r="I2" s="1508"/>
      <c r="J2" s="1508"/>
      <c r="K2" s="1508"/>
      <c r="L2" s="1508"/>
    </row>
    <row r="3" spans="2:23" ht="20.399999999999999">
      <c r="B3" s="1508" t="str">
        <f>"AND "&amp;TEXT('KEY INPUTS'!D33,"0")&amp;" DEBT  SERVICE  FOR  BONDS"</f>
        <v>AND 2020 DEBT  SERVICE  FOR  BONDS</v>
      </c>
      <c r="C3" s="1508"/>
      <c r="D3" s="1508"/>
      <c r="E3" s="1508"/>
      <c r="F3" s="1508"/>
      <c r="G3" s="1508"/>
      <c r="H3" s="1508"/>
      <c r="I3" s="1508"/>
      <c r="J3" s="1508"/>
      <c r="K3" s="1508"/>
      <c r="L3" s="1508"/>
    </row>
    <row r="4" spans="2:23" ht="15.6">
      <c r="B4" s="1509" t="s">
        <v>705</v>
      </c>
      <c r="C4" s="1509"/>
      <c r="D4" s="1509"/>
      <c r="E4" s="1509"/>
      <c r="F4" s="1509"/>
      <c r="G4" s="1509"/>
      <c r="H4" s="1509"/>
      <c r="I4" s="1509"/>
      <c r="J4" s="1509"/>
      <c r="K4" s="1509"/>
      <c r="L4" s="1509"/>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34" t="s">
        <v>126</v>
      </c>
      <c r="I6" s="1553"/>
      <c r="J6" s="1660" t="str">
        <f>'31A-Loan Schedule'!J6:L6</f>
        <v>2020  Debt       Service</v>
      </c>
      <c r="K6" s="1676"/>
      <c r="L6" s="1677"/>
    </row>
    <row r="7" spans="2:23" ht="21" customHeight="1" thickTop="1">
      <c r="B7" s="283" t="str">
        <f>'KEY INPUTS'!D27</f>
        <v>Outstanding - January 1, 2019</v>
      </c>
      <c r="C7" s="283"/>
      <c r="D7" s="283"/>
      <c r="E7" s="283"/>
      <c r="F7" s="283" t="s">
        <v>706</v>
      </c>
      <c r="G7" s="145" t="s">
        <v>788</v>
      </c>
      <c r="H7" s="1706"/>
      <c r="I7" s="1707"/>
      <c r="O7" s="322"/>
      <c r="P7" s="322"/>
      <c r="Q7" s="322"/>
      <c r="R7" s="322"/>
      <c r="S7" s="322"/>
      <c r="T7" s="322"/>
      <c r="U7" s="322"/>
      <c r="V7" s="322"/>
      <c r="W7" s="322"/>
    </row>
    <row r="8" spans="2:23" ht="21" customHeight="1">
      <c r="B8" s="323" t="s">
        <v>326</v>
      </c>
      <c r="C8" s="323"/>
      <c r="D8" s="323"/>
      <c r="E8" s="323"/>
      <c r="F8" s="323" t="s">
        <v>318</v>
      </c>
      <c r="G8" s="374"/>
      <c r="H8" s="1662" t="s">
        <v>788</v>
      </c>
      <c r="I8" s="1663"/>
      <c r="O8" s="322"/>
      <c r="P8" s="322"/>
      <c r="Q8" s="322"/>
      <c r="R8" s="322"/>
      <c r="S8" s="322"/>
      <c r="T8" s="322"/>
      <c r="U8" s="322"/>
      <c r="V8" s="322"/>
      <c r="W8" s="322"/>
    </row>
    <row r="9" spans="2:23" ht="21" customHeight="1">
      <c r="B9" s="566"/>
      <c r="C9" s="566"/>
      <c r="D9" s="566"/>
      <c r="E9" s="566"/>
      <c r="F9" s="566"/>
      <c r="G9" s="601"/>
      <c r="H9" s="1680"/>
      <c r="I9" s="1681"/>
      <c r="O9" s="322"/>
      <c r="P9" s="322"/>
      <c r="Q9" s="322"/>
      <c r="R9" s="322"/>
      <c r="S9" s="322"/>
      <c r="T9" s="322"/>
      <c r="U9" s="322"/>
      <c r="V9" s="322"/>
      <c r="W9" s="322"/>
    </row>
    <row r="10" spans="2:23" ht="21" customHeight="1">
      <c r="B10" s="566"/>
      <c r="C10" s="566"/>
      <c r="D10" s="566"/>
      <c r="E10" s="566"/>
      <c r="F10" s="566"/>
      <c r="G10" s="601"/>
      <c r="H10" s="1680"/>
      <c r="I10" s="1681"/>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707</v>
      </c>
      <c r="G11" s="141">
        <f>+H7-G8-G9-G10+H9+H10</f>
        <v>0</v>
      </c>
      <c r="H11" s="1664" t="s">
        <v>788</v>
      </c>
      <c r="I11" s="1665"/>
      <c r="O11" s="322"/>
      <c r="P11" s="322"/>
      <c r="Q11" s="322"/>
      <c r="R11" s="322"/>
      <c r="S11" s="322"/>
      <c r="T11" s="322"/>
      <c r="U11" s="322"/>
      <c r="V11" s="322"/>
      <c r="W11" s="322"/>
    </row>
    <row r="12" spans="2:23" ht="21" customHeight="1" thickBot="1">
      <c r="B12" s="322"/>
      <c r="C12" s="322"/>
      <c r="D12" s="322"/>
      <c r="E12" s="322"/>
      <c r="F12" s="322"/>
      <c r="G12" s="137">
        <f>SUM(G7:G11)</f>
        <v>0</v>
      </c>
      <c r="H12" s="1711">
        <f>SUM(H7:I11)</f>
        <v>0</v>
      </c>
      <c r="I12" s="1712"/>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708</v>
      </c>
      <c r="H13" s="30" t="s">
        <v>482</v>
      </c>
      <c r="I13" s="607"/>
      <c r="J13" s="74"/>
      <c r="K13" s="1714"/>
      <c r="L13" s="1714"/>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709</v>
      </c>
      <c r="H14" s="27" t="s">
        <v>482</v>
      </c>
      <c r="I14" s="608"/>
      <c r="O14" s="322"/>
      <c r="P14" s="377"/>
      <c r="Q14" s="322"/>
      <c r="R14" s="322"/>
      <c r="S14" s="322"/>
      <c r="T14" s="322"/>
      <c r="U14" s="322"/>
      <c r="V14" s="322"/>
      <c r="W14" s="322"/>
    </row>
    <row r="15" spans="2:23" ht="16.5" customHeight="1" thickTop="1">
      <c r="B15" s="1666"/>
      <c r="C15" s="1666"/>
      <c r="D15" s="1666"/>
      <c r="E15" s="1666"/>
      <c r="F15" s="1666"/>
      <c r="G15" s="1666"/>
      <c r="H15" s="1666"/>
      <c r="I15" s="1667"/>
      <c r="O15" s="322"/>
      <c r="P15" s="322"/>
      <c r="Q15" s="322"/>
      <c r="R15" s="322"/>
      <c r="S15" s="322"/>
      <c r="T15" s="322"/>
      <c r="U15" s="322"/>
      <c r="V15" s="322"/>
      <c r="W15" s="322"/>
    </row>
    <row r="16" spans="2:23" ht="26.25" customHeight="1" thickBot="1">
      <c r="B16" s="1670" t="s">
        <v>99</v>
      </c>
      <c r="C16" s="1670"/>
      <c r="D16" s="1670"/>
      <c r="E16" s="1670"/>
      <c r="F16" s="1670"/>
      <c r="G16" s="1670"/>
      <c r="H16" s="1670"/>
      <c r="I16" s="1671"/>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788</v>
      </c>
      <c r="H17" s="1652"/>
      <c r="I17" s="1653"/>
      <c r="O17" s="322"/>
      <c r="P17" s="322"/>
      <c r="Q17" s="322"/>
      <c r="R17" s="322"/>
      <c r="S17" s="322"/>
      <c r="T17" s="322"/>
      <c r="U17" s="322"/>
      <c r="V17" s="322"/>
      <c r="W17" s="322"/>
    </row>
    <row r="18" spans="2:23" ht="21" customHeight="1">
      <c r="B18" s="323" t="s">
        <v>113</v>
      </c>
      <c r="C18" s="323"/>
      <c r="D18" s="323"/>
      <c r="E18" s="323"/>
      <c r="F18" s="323" t="s">
        <v>87</v>
      </c>
      <c r="G18" s="146" t="s">
        <v>788</v>
      </c>
      <c r="H18" s="1652"/>
      <c r="I18" s="1653"/>
      <c r="O18" s="322"/>
      <c r="P18" s="322"/>
      <c r="Q18" s="322"/>
      <c r="R18" s="322"/>
      <c r="S18" s="322"/>
      <c r="T18" s="322"/>
      <c r="U18" s="322"/>
      <c r="V18" s="322"/>
      <c r="W18" s="322"/>
    </row>
    <row r="19" spans="2:23" ht="21" customHeight="1">
      <c r="B19" s="323" t="s">
        <v>326</v>
      </c>
      <c r="C19" s="323"/>
      <c r="D19" s="323"/>
      <c r="E19" s="323"/>
      <c r="F19" s="323" t="s">
        <v>88</v>
      </c>
      <c r="G19" s="374"/>
      <c r="H19" s="1662" t="s">
        <v>788</v>
      </c>
      <c r="I19" s="1663"/>
      <c r="O19" s="322"/>
      <c r="P19" s="322"/>
      <c r="Q19" s="322"/>
      <c r="R19" s="322"/>
      <c r="S19" s="322"/>
      <c r="T19" s="322"/>
      <c r="U19" s="322"/>
      <c r="V19" s="322"/>
      <c r="W19" s="322"/>
    </row>
    <row r="20" spans="2:23" ht="21" customHeight="1">
      <c r="B20" s="566"/>
      <c r="C20" s="566"/>
      <c r="D20" s="566"/>
      <c r="E20" s="566"/>
      <c r="F20" s="566"/>
      <c r="G20" s="601"/>
      <c r="H20" s="1680"/>
      <c r="I20" s="1681"/>
      <c r="O20" s="322"/>
      <c r="P20" s="322"/>
      <c r="Q20" s="322"/>
      <c r="R20" s="322"/>
      <c r="S20" s="322"/>
      <c r="T20" s="322"/>
      <c r="U20" s="322"/>
      <c r="V20" s="322"/>
      <c r="W20" s="322"/>
    </row>
    <row r="21" spans="2:23" ht="21" customHeight="1">
      <c r="B21" s="566"/>
      <c r="C21" s="566"/>
      <c r="D21" s="566"/>
      <c r="E21" s="566"/>
      <c r="F21" s="566"/>
      <c r="G21" s="601"/>
      <c r="H21" s="1680"/>
      <c r="I21" s="1681"/>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64" t="s">
        <v>788</v>
      </c>
      <c r="I22" s="1665"/>
      <c r="O22" s="322"/>
      <c r="P22" s="322"/>
      <c r="Q22" s="322"/>
      <c r="R22" s="322"/>
      <c r="S22" s="322"/>
      <c r="T22" s="322"/>
      <c r="U22" s="322"/>
      <c r="V22" s="322"/>
      <c r="W22" s="322"/>
    </row>
    <row r="23" spans="2:23" ht="21" customHeight="1" thickBot="1">
      <c r="G23" s="137">
        <f>SUM(G17:G22)</f>
        <v>0</v>
      </c>
      <c r="H23" s="1711">
        <f>SUM(H17:I22)</f>
        <v>0</v>
      </c>
      <c r="I23" s="1712"/>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482</v>
      </c>
      <c r="I24" s="610"/>
      <c r="J24" s="74"/>
      <c r="K24" s="1714"/>
      <c r="L24" s="1714"/>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482</v>
      </c>
      <c r="K25" s="1715"/>
      <c r="L25" s="1715"/>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482</v>
      </c>
      <c r="K26" s="1713">
        <f>+I24+I14</f>
        <v>0</v>
      </c>
      <c r="L26" s="1713"/>
    </row>
    <row r="27" spans="2:23" ht="21" customHeight="1" thickTop="1"/>
    <row r="28" spans="2:23" ht="21" customHeight="1" thickBot="1">
      <c r="B28" s="1710" t="str">
        <f>"LIST  OF  BONDS  ISSUED  DURING "&amp;TEXT('KEY INPUTS'!D34,"0")</f>
        <v>LIST  OF  BONDS  ISSUED  DURING 2019</v>
      </c>
      <c r="C28" s="1710"/>
      <c r="D28" s="1710"/>
      <c r="E28" s="1710"/>
      <c r="F28" s="1710"/>
      <c r="G28" s="1710"/>
      <c r="H28" s="1710"/>
      <c r="I28" s="1710"/>
      <c r="J28" s="1710"/>
      <c r="K28" s="1710"/>
      <c r="L28" s="1710"/>
    </row>
    <row r="29" spans="2:23" ht="27" customHeight="1" thickTop="1" thickBot="1">
      <c r="B29" s="1552" t="s">
        <v>532</v>
      </c>
      <c r="C29" s="1552"/>
      <c r="D29" s="1552"/>
      <c r="E29" s="1552"/>
      <c r="F29" s="1552"/>
      <c r="G29" s="143" t="str">
        <f>TEXT('KEY INPUTS'!D33,"0")&amp;" Maturity           -01"</f>
        <v>2020 Maturity           -01</v>
      </c>
      <c r="H29" s="1660" t="s">
        <v>94</v>
      </c>
      <c r="I29" s="1661"/>
      <c r="J29" s="1660" t="s">
        <v>107</v>
      </c>
      <c r="K29" s="1661"/>
      <c r="L29" s="813" t="s">
        <v>108</v>
      </c>
    </row>
    <row r="30" spans="2:23" ht="21" customHeight="1" thickTop="1">
      <c r="B30" s="569"/>
      <c r="C30" s="569"/>
      <c r="D30" s="569"/>
      <c r="E30" s="569"/>
      <c r="F30" s="569"/>
      <c r="G30" s="605"/>
      <c r="H30" s="1706"/>
      <c r="I30" s="1707"/>
      <c r="J30" s="1657"/>
      <c r="K30" s="1649"/>
      <c r="L30" s="953"/>
    </row>
    <row r="31" spans="2:23" ht="21" customHeight="1">
      <c r="B31" s="566"/>
      <c r="C31" s="566"/>
      <c r="D31" s="566"/>
      <c r="E31" s="566"/>
      <c r="F31" s="566"/>
      <c r="G31" s="601"/>
      <c r="H31" s="1680"/>
      <c r="I31" s="1681"/>
      <c r="J31" s="1651"/>
      <c r="K31" s="1646"/>
      <c r="L31" s="954"/>
    </row>
    <row r="32" spans="2:23" ht="21" customHeight="1">
      <c r="B32" s="566"/>
      <c r="C32" s="566"/>
      <c r="D32" s="566"/>
      <c r="E32" s="566"/>
      <c r="F32" s="566"/>
      <c r="G32" s="601"/>
      <c r="H32" s="1680"/>
      <c r="I32" s="1681"/>
      <c r="J32" s="1651"/>
      <c r="K32" s="1646"/>
      <c r="L32" s="954"/>
    </row>
    <row r="33" spans="2:12" ht="21" customHeight="1" thickBot="1">
      <c r="B33" s="27"/>
      <c r="C33" s="27"/>
      <c r="D33" s="27"/>
      <c r="E33" s="142" t="s">
        <v>260</v>
      </c>
      <c r="F33" s="41" t="s">
        <v>93</v>
      </c>
      <c r="G33" s="137">
        <f>SUM(G30:G32)</f>
        <v>0</v>
      </c>
      <c r="H33" s="1716">
        <f>SUM(H30:I32)</f>
        <v>0</v>
      </c>
      <c r="I33" s="1717"/>
      <c r="J33" s="40"/>
      <c r="K33" s="27"/>
      <c r="L33" s="19"/>
    </row>
    <row r="34" spans="2:12" ht="13.8" thickTop="1">
      <c r="G34" s="57"/>
      <c r="H34" s="57"/>
      <c r="I34" s="57"/>
    </row>
    <row r="35" spans="2:12" ht="7.5" customHeight="1"/>
    <row r="36" spans="2:12" ht="15.6">
      <c r="B36" s="1509" t="str">
        <f>TEXT('KEY INPUTS'!D33,"0")&amp;"  INTEREST  REQUIREMENT  -  CURRENT  FUND  DEBT  ONLY"</f>
        <v>2020  INTEREST  REQUIREMENT  -  CURRENT  FUND  DEBT  ONLY</v>
      </c>
      <c r="C36" s="1509"/>
      <c r="D36" s="1509"/>
      <c r="E36" s="1509"/>
      <c r="F36" s="1509"/>
      <c r="G36" s="1509"/>
      <c r="H36" s="1509"/>
      <c r="I36" s="1509"/>
      <c r="J36" s="1509"/>
      <c r="K36" s="1509"/>
      <c r="L36" s="1509"/>
    </row>
    <row r="37" spans="2:12" ht="9.75" customHeight="1">
      <c r="I37" s="9" t="s">
        <v>257</v>
      </c>
      <c r="J37" s="34"/>
      <c r="K37" s="1718" t="str">
        <f>TEXT('KEY INPUTS'!D33,"0")&amp;"  Interest"</f>
        <v>2020  Interest</v>
      </c>
      <c r="L37" s="1718"/>
    </row>
    <row r="38" spans="2:12" ht="9.75" customHeight="1">
      <c r="I38" s="304" t="str">
        <f>'KEY INPUTS'!D46</f>
        <v>Dec. 31, 2019</v>
      </c>
      <c r="J38" s="34"/>
      <c r="K38" s="1718" t="s">
        <v>162</v>
      </c>
      <c r="L38" s="1718"/>
    </row>
    <row r="40" spans="2:12" ht="20.100000000000001" customHeight="1">
      <c r="C40" s="992" t="s">
        <v>384</v>
      </c>
      <c r="D40" s="289" t="s">
        <v>167</v>
      </c>
      <c r="E40" s="322"/>
      <c r="F40" s="322"/>
      <c r="G40" s="144" t="s">
        <v>163</v>
      </c>
      <c r="H40" t="s">
        <v>482</v>
      </c>
      <c r="I40" s="376"/>
      <c r="J40" t="s">
        <v>482</v>
      </c>
      <c r="K40" s="1550"/>
      <c r="L40" s="1550"/>
    </row>
    <row r="41" spans="2:12" ht="20.100000000000001" customHeight="1">
      <c r="C41" s="992" t="s">
        <v>385</v>
      </c>
      <c r="D41" s="289" t="s">
        <v>168</v>
      </c>
      <c r="E41" s="322"/>
      <c r="F41" s="322"/>
      <c r="G41" s="144" t="s">
        <v>164</v>
      </c>
      <c r="H41" t="s">
        <v>482</v>
      </c>
      <c r="I41" s="376">
        <v>210000</v>
      </c>
      <c r="J41" t="s">
        <v>482</v>
      </c>
      <c r="K41" s="1550">
        <f>I41*0.02</f>
        <v>4200</v>
      </c>
      <c r="L41" s="1550"/>
    </row>
    <row r="42" spans="2:12" ht="20.100000000000001" customHeight="1">
      <c r="C42" s="992" t="s">
        <v>386</v>
      </c>
      <c r="D42" s="289" t="s">
        <v>169</v>
      </c>
      <c r="E42" s="322"/>
      <c r="F42" s="322"/>
      <c r="G42" s="144" t="s">
        <v>165</v>
      </c>
      <c r="H42" t="s">
        <v>482</v>
      </c>
      <c r="I42" s="376"/>
      <c r="J42" t="s">
        <v>482</v>
      </c>
      <c r="K42" s="1550"/>
      <c r="L42" s="1550"/>
    </row>
    <row r="43" spans="2:12" ht="20.100000000000001" customHeight="1">
      <c r="C43" s="992" t="s">
        <v>387</v>
      </c>
      <c r="D43" s="289" t="s">
        <v>170</v>
      </c>
      <c r="E43" s="322"/>
      <c r="F43" s="322"/>
      <c r="G43" s="144" t="s">
        <v>166</v>
      </c>
      <c r="H43" t="s">
        <v>482</v>
      </c>
      <c r="I43" s="376"/>
      <c r="J43" t="s">
        <v>482</v>
      </c>
      <c r="K43" s="1550"/>
      <c r="L43" s="1550"/>
    </row>
    <row r="44" spans="2:12" ht="20.100000000000001" customHeight="1">
      <c r="C44" s="85" t="s">
        <v>388</v>
      </c>
      <c r="D44" s="375"/>
      <c r="E44" s="375"/>
      <c r="F44" s="375"/>
      <c r="H44" t="s">
        <v>482</v>
      </c>
      <c r="I44" s="376"/>
      <c r="J44" t="s">
        <v>482</v>
      </c>
      <c r="K44" s="1550"/>
      <c r="L44" s="1550"/>
    </row>
    <row r="45" spans="2:12" ht="20.100000000000001" customHeight="1">
      <c r="C45" s="85" t="s">
        <v>389</v>
      </c>
      <c r="D45" s="375"/>
      <c r="E45" s="375"/>
      <c r="F45" s="375"/>
      <c r="H45" t="s">
        <v>482</v>
      </c>
      <c r="I45" s="376"/>
      <c r="J45" t="s">
        <v>482</v>
      </c>
      <c r="K45" s="1550"/>
      <c r="L45" s="1550"/>
    </row>
    <row r="46" spans="2:12">
      <c r="L46" s="322"/>
    </row>
    <row r="48" spans="2:12" ht="13.8">
      <c r="B48" s="1507" t="s">
        <v>171</v>
      </c>
      <c r="C48" s="1507"/>
      <c r="D48" s="1507"/>
      <c r="E48" s="1507"/>
      <c r="F48" s="1507"/>
      <c r="G48" s="1507"/>
      <c r="H48" s="1507"/>
      <c r="I48" s="1507"/>
      <c r="J48" s="1507"/>
      <c r="K48" s="1507"/>
      <c r="L48" s="1507"/>
    </row>
  </sheetData>
  <sheetProtection password="CAF9"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4"/>
  <dimension ref="A1:V35"/>
  <sheetViews>
    <sheetView workbookViewId="0">
      <selection activeCell="J9" sqref="J9"/>
    </sheetView>
  </sheetViews>
  <sheetFormatPr defaultRowHeight="13.2"/>
  <cols>
    <col min="1" max="1" width="5.6640625" customWidth="1"/>
    <col min="2" max="3" width="4.88671875" customWidth="1"/>
    <col min="4" max="4" width="30.6640625" customWidth="1"/>
    <col min="5" max="12" width="15.6640625" customWidth="1"/>
    <col min="13" max="13" width="12.88671875" bestFit="1" customWidth="1"/>
  </cols>
  <sheetData>
    <row r="1" spans="1:22">
      <c r="B1" s="322"/>
      <c r="C1" s="322"/>
      <c r="D1" s="322"/>
      <c r="E1" s="322"/>
      <c r="F1" s="322"/>
      <c r="G1" s="322"/>
      <c r="H1" s="322"/>
      <c r="I1" s="322"/>
      <c r="J1" s="322"/>
      <c r="K1" s="322"/>
      <c r="L1" s="322"/>
    </row>
    <row r="2" spans="1:22" ht="20.399999999999999">
      <c r="B2" s="1508" t="s">
        <v>172</v>
      </c>
      <c r="C2" s="1508"/>
      <c r="D2" s="1508"/>
      <c r="E2" s="1508"/>
      <c r="F2" s="1508"/>
      <c r="G2" s="1508"/>
      <c r="H2" s="1508"/>
      <c r="I2" s="1508"/>
      <c r="J2" s="1508"/>
      <c r="K2" s="1508"/>
      <c r="L2" s="1508"/>
    </row>
    <row r="3" spans="1:22" ht="21" thickBot="1">
      <c r="B3" s="1508"/>
      <c r="C3" s="1508"/>
      <c r="D3" s="1508"/>
      <c r="E3" s="1508"/>
      <c r="F3" s="1508"/>
      <c r="G3" s="1508"/>
      <c r="H3" s="1508"/>
      <c r="I3" s="1508"/>
      <c r="J3" s="1508"/>
      <c r="K3" s="1508"/>
      <c r="L3" s="1508"/>
    </row>
    <row r="4" spans="1:22" ht="13.5" customHeight="1" thickTop="1">
      <c r="B4" s="11"/>
      <c r="C4" s="11"/>
      <c r="D4" s="11"/>
      <c r="E4" s="12"/>
      <c r="F4" s="12"/>
      <c r="G4" s="12"/>
      <c r="H4" s="12"/>
      <c r="I4" s="12"/>
      <c r="J4" s="11"/>
      <c r="K4" s="11"/>
      <c r="L4" s="18"/>
    </row>
    <row r="5" spans="1:22" ht="13.5" customHeight="1">
      <c r="B5" s="322"/>
      <c r="C5" s="322"/>
      <c r="D5" s="322"/>
      <c r="E5" s="282" t="s">
        <v>176</v>
      </c>
      <c r="F5" s="999" t="s">
        <v>176</v>
      </c>
      <c r="G5" s="999" t="s">
        <v>533</v>
      </c>
      <c r="H5" s="999" t="s">
        <v>18</v>
      </c>
      <c r="I5" s="999" t="s">
        <v>685</v>
      </c>
      <c r="J5" s="1721" t="str">
        <f>TEXT('KEY INPUTS'!D33,"0")&amp;" Budget Requirements"</f>
        <v>2020 Budget Requirements</v>
      </c>
      <c r="K5" s="1722"/>
      <c r="L5" s="21" t="s">
        <v>686</v>
      </c>
    </row>
    <row r="6" spans="1:22" ht="13.5" customHeight="1">
      <c r="B6" s="322"/>
      <c r="C6" s="1545" t="s">
        <v>175</v>
      </c>
      <c r="D6" s="1594"/>
      <c r="E6" s="282" t="s">
        <v>533</v>
      </c>
      <c r="F6" s="999" t="s">
        <v>177</v>
      </c>
      <c r="G6" s="999" t="s">
        <v>682</v>
      </c>
      <c r="H6" s="999" t="s">
        <v>683</v>
      </c>
      <c r="I6" s="999" t="s">
        <v>683</v>
      </c>
      <c r="J6" s="1723"/>
      <c r="K6" s="1724"/>
      <c r="L6" s="21" t="s">
        <v>689</v>
      </c>
    </row>
    <row r="7" spans="1:22" ht="13.5" customHeight="1">
      <c r="B7" s="322"/>
      <c r="C7" s="322"/>
      <c r="D7" s="322"/>
      <c r="E7" s="282" t="s">
        <v>113</v>
      </c>
      <c r="F7" s="282" t="s">
        <v>178</v>
      </c>
      <c r="G7" s="282" t="s">
        <v>257</v>
      </c>
      <c r="H7" s="282" t="s">
        <v>684</v>
      </c>
      <c r="I7" s="282" t="s">
        <v>686</v>
      </c>
      <c r="J7" s="282" t="s">
        <v>142</v>
      </c>
      <c r="K7" s="282" t="s">
        <v>687</v>
      </c>
      <c r="L7" s="21" t="s">
        <v>690</v>
      </c>
    </row>
    <row r="8" spans="1:22" ht="13.5" customHeight="1" thickBot="1">
      <c r="B8" s="10"/>
      <c r="C8" s="10"/>
      <c r="D8" s="10"/>
      <c r="E8" s="14"/>
      <c r="F8" s="14"/>
      <c r="G8" s="305" t="str">
        <f>'KEY INPUTS'!D46</f>
        <v>Dec. 31, 2019</v>
      </c>
      <c r="H8" s="14"/>
      <c r="I8" s="14"/>
      <c r="J8" s="16"/>
      <c r="K8" s="149" t="s">
        <v>688</v>
      </c>
      <c r="L8" s="19"/>
    </row>
    <row r="9" spans="1:22" ht="21" customHeight="1" thickTop="1">
      <c r="B9" s="1725" t="s">
        <v>3886</v>
      </c>
      <c r="C9" s="1726" t="s">
        <v>3823</v>
      </c>
      <c r="D9" s="1727" t="s">
        <v>3823</v>
      </c>
      <c r="E9" s="374">
        <v>160000</v>
      </c>
      <c r="F9" s="611">
        <v>43782</v>
      </c>
      <c r="G9" s="374">
        <v>160000</v>
      </c>
      <c r="H9" s="612">
        <v>44147</v>
      </c>
      <c r="I9" s="957">
        <v>0.02</v>
      </c>
      <c r="J9" s="613"/>
      <c r="K9" s="374">
        <f>+G9*I9</f>
        <v>3200</v>
      </c>
      <c r="L9" s="614"/>
      <c r="M9" s="325"/>
    </row>
    <row r="10" spans="1:22" ht="21" customHeight="1">
      <c r="B10" s="1728" t="s">
        <v>3888</v>
      </c>
      <c r="C10" s="1719" t="s">
        <v>3885</v>
      </c>
      <c r="D10" s="1720" t="s">
        <v>3885</v>
      </c>
      <c r="E10" s="374">
        <v>70000</v>
      </c>
      <c r="F10" s="611">
        <v>43782</v>
      </c>
      <c r="G10" s="374">
        <v>70000</v>
      </c>
      <c r="H10" s="612">
        <v>44147</v>
      </c>
      <c r="I10" s="957">
        <v>0.02</v>
      </c>
      <c r="J10" s="613"/>
      <c r="K10" s="374">
        <f t="shared" ref="K10:K16" si="0">+G10*I10</f>
        <v>1400</v>
      </c>
      <c r="L10" s="614"/>
      <c r="M10" s="325"/>
      <c r="P10" s="322"/>
      <c r="Q10" s="322"/>
      <c r="R10" s="322"/>
      <c r="S10" s="322"/>
      <c r="T10" s="322"/>
      <c r="U10" s="322"/>
      <c r="V10" s="322"/>
    </row>
    <row r="11" spans="1:22" ht="21" customHeight="1">
      <c r="B11" s="1728" t="s">
        <v>3887</v>
      </c>
      <c r="C11" s="1719" t="s">
        <v>3856</v>
      </c>
      <c r="D11" s="1720" t="s">
        <v>3856</v>
      </c>
      <c r="E11" s="374">
        <v>200000</v>
      </c>
      <c r="F11" s="611">
        <v>43782</v>
      </c>
      <c r="G11" s="374">
        <v>200000</v>
      </c>
      <c r="H11" s="612">
        <v>44147</v>
      </c>
      <c r="I11" s="957">
        <v>0.02</v>
      </c>
      <c r="J11" s="613"/>
      <c r="K11" s="374">
        <f t="shared" si="0"/>
        <v>4000</v>
      </c>
      <c r="L11" s="614"/>
      <c r="M11" s="325"/>
      <c r="P11" s="322"/>
      <c r="Q11" s="322"/>
      <c r="R11" s="322"/>
      <c r="S11" s="322"/>
      <c r="T11" s="322"/>
      <c r="U11" s="322"/>
      <c r="V11" s="322"/>
    </row>
    <row r="12" spans="1:22" ht="21" customHeight="1">
      <c r="B12" s="1728" t="s">
        <v>3889</v>
      </c>
      <c r="C12" s="1719" t="s">
        <v>3856</v>
      </c>
      <c r="D12" s="1720" t="s">
        <v>3856</v>
      </c>
      <c r="E12" s="374">
        <v>2000000</v>
      </c>
      <c r="F12" s="611">
        <v>43782</v>
      </c>
      <c r="G12" s="374">
        <v>2000000</v>
      </c>
      <c r="H12" s="612">
        <v>44147</v>
      </c>
      <c r="I12" s="957">
        <v>0.02</v>
      </c>
      <c r="J12" s="613"/>
      <c r="K12" s="374">
        <f t="shared" si="0"/>
        <v>40000</v>
      </c>
      <c r="L12" s="614"/>
      <c r="M12" s="325"/>
      <c r="P12" s="377"/>
      <c r="Q12" s="322"/>
      <c r="R12" s="322"/>
      <c r="S12" s="322"/>
      <c r="T12" s="322"/>
      <c r="U12" s="322"/>
      <c r="V12" s="322"/>
    </row>
    <row r="13" spans="1:22" ht="21" customHeight="1">
      <c r="B13" s="1728" t="s">
        <v>3890</v>
      </c>
      <c r="C13" s="1719" t="s">
        <v>3859</v>
      </c>
      <c r="D13" s="1720" t="s">
        <v>3859</v>
      </c>
      <c r="E13" s="374">
        <v>1254000</v>
      </c>
      <c r="F13" s="611">
        <v>43782</v>
      </c>
      <c r="G13" s="374">
        <v>1254000</v>
      </c>
      <c r="H13" s="612">
        <v>44147</v>
      </c>
      <c r="I13" s="957">
        <v>0.02</v>
      </c>
      <c r="J13" s="613"/>
      <c r="K13" s="374">
        <f t="shared" si="0"/>
        <v>25080</v>
      </c>
      <c r="L13" s="614"/>
      <c r="M13" s="325"/>
      <c r="P13" s="322"/>
      <c r="Q13" s="322"/>
      <c r="R13" s="322"/>
      <c r="S13" s="322"/>
      <c r="T13" s="322"/>
      <c r="U13" s="322"/>
      <c r="V13" s="322"/>
    </row>
    <row r="14" spans="1:22" ht="21" customHeight="1">
      <c r="B14" s="1728" t="s">
        <v>3891</v>
      </c>
      <c r="C14" s="1719" t="s">
        <v>3853</v>
      </c>
      <c r="D14" s="1720" t="s">
        <v>3853</v>
      </c>
      <c r="E14" s="374">
        <v>370000</v>
      </c>
      <c r="F14" s="611">
        <v>43782</v>
      </c>
      <c r="G14" s="374">
        <v>370000</v>
      </c>
      <c r="H14" s="612">
        <v>44147</v>
      </c>
      <c r="I14" s="957">
        <v>0.02</v>
      </c>
      <c r="J14" s="374"/>
      <c r="K14" s="374">
        <f t="shared" si="0"/>
        <v>7400</v>
      </c>
      <c r="L14" s="614"/>
      <c r="P14" s="322"/>
      <c r="Q14" s="322"/>
      <c r="R14" s="322"/>
      <c r="S14" s="322"/>
      <c r="T14" s="322"/>
      <c r="U14" s="322"/>
      <c r="V14" s="322"/>
    </row>
    <row r="15" spans="1:22" ht="21" customHeight="1">
      <c r="A15" s="1576" t="s">
        <v>173</v>
      </c>
      <c r="B15" s="1728" t="s">
        <v>3892</v>
      </c>
      <c r="C15" s="1719" t="s">
        <v>3852</v>
      </c>
      <c r="D15" s="1720" t="s">
        <v>3852</v>
      </c>
      <c r="E15" s="374">
        <v>700000</v>
      </c>
      <c r="F15" s="611">
        <v>43782</v>
      </c>
      <c r="G15" s="374">
        <v>700000</v>
      </c>
      <c r="H15" s="612">
        <v>44147</v>
      </c>
      <c r="I15" s="957">
        <v>0.02</v>
      </c>
      <c r="J15" s="374"/>
      <c r="K15" s="374">
        <f t="shared" si="0"/>
        <v>14000</v>
      </c>
      <c r="L15" s="614"/>
      <c r="P15" s="322"/>
      <c r="Q15" s="322"/>
      <c r="R15" s="322"/>
      <c r="S15" s="322"/>
      <c r="T15" s="322"/>
      <c r="U15" s="322"/>
      <c r="V15" s="322"/>
    </row>
    <row r="16" spans="1:22" ht="21" customHeight="1">
      <c r="A16" s="1576"/>
      <c r="B16" s="1728" t="s">
        <v>3893</v>
      </c>
      <c r="C16" s="1719" t="s">
        <v>3875</v>
      </c>
      <c r="D16" s="1720" t="s">
        <v>3875</v>
      </c>
      <c r="E16" s="374">
        <v>213750</v>
      </c>
      <c r="F16" s="611">
        <v>43782</v>
      </c>
      <c r="G16" s="374">
        <v>213750</v>
      </c>
      <c r="H16" s="612">
        <v>44147</v>
      </c>
      <c r="I16" s="957">
        <v>0.02</v>
      </c>
      <c r="J16" s="374"/>
      <c r="K16" s="374">
        <f t="shared" si="0"/>
        <v>4275</v>
      </c>
      <c r="L16" s="614"/>
      <c r="P16" s="322"/>
      <c r="Q16" s="322"/>
      <c r="R16" s="322"/>
      <c r="S16" s="322"/>
      <c r="T16" s="322"/>
      <c r="U16" s="322"/>
      <c r="V16" s="322"/>
    </row>
    <row r="17" spans="1:22" ht="21" customHeight="1">
      <c r="A17" s="1576"/>
      <c r="B17" s="1719"/>
      <c r="C17" s="1719"/>
      <c r="D17" s="1720"/>
      <c r="E17" s="374"/>
      <c r="F17" s="611"/>
      <c r="G17" s="374"/>
      <c r="H17" s="612"/>
      <c r="I17" s="957"/>
      <c r="J17" s="374"/>
      <c r="K17" s="374"/>
      <c r="L17" s="614"/>
      <c r="P17" s="322"/>
      <c r="Q17" s="322"/>
      <c r="R17" s="322"/>
      <c r="S17" s="322"/>
      <c r="T17" s="322"/>
      <c r="U17" s="322"/>
      <c r="V17" s="322"/>
    </row>
    <row r="18" spans="1:22" ht="21" customHeight="1">
      <c r="A18" s="138"/>
      <c r="B18" s="1719"/>
      <c r="C18" s="1719"/>
      <c r="D18" s="1720"/>
      <c r="E18" s="374"/>
      <c r="F18" s="611"/>
      <c r="G18" s="374"/>
      <c r="H18" s="612"/>
      <c r="I18" s="957"/>
      <c r="J18" s="374"/>
      <c r="K18" s="374"/>
      <c r="L18" s="614"/>
      <c r="P18" s="322"/>
      <c r="Q18" s="322"/>
      <c r="R18" s="322"/>
      <c r="S18" s="322"/>
      <c r="T18" s="322"/>
      <c r="U18" s="322"/>
      <c r="V18" s="322"/>
    </row>
    <row r="19" spans="1:22" ht="21" customHeight="1">
      <c r="B19" s="1719"/>
      <c r="C19" s="1719"/>
      <c r="D19" s="1720"/>
      <c r="E19" s="374"/>
      <c r="F19" s="611"/>
      <c r="G19" s="374"/>
      <c r="H19" s="612"/>
      <c r="I19" s="957"/>
      <c r="J19" s="374"/>
      <c r="K19" s="374"/>
      <c r="L19" s="614"/>
      <c r="P19" s="322"/>
      <c r="Q19" s="322"/>
      <c r="R19" s="322"/>
      <c r="S19" s="322"/>
      <c r="T19" s="322"/>
      <c r="U19" s="322"/>
      <c r="V19" s="322"/>
    </row>
    <row r="20" spans="1:22" ht="21" customHeight="1">
      <c r="B20" s="1719"/>
      <c r="C20" s="1719"/>
      <c r="D20" s="1720"/>
      <c r="E20" s="374"/>
      <c r="F20" s="611"/>
      <c r="G20" s="374"/>
      <c r="H20" s="612"/>
      <c r="I20" s="957"/>
      <c r="J20" s="374"/>
      <c r="K20" s="374"/>
      <c r="L20" s="614"/>
      <c r="P20" s="322"/>
      <c r="Q20" s="322"/>
      <c r="R20" s="322"/>
      <c r="S20" s="322"/>
      <c r="T20" s="322"/>
      <c r="U20" s="322"/>
      <c r="V20" s="322"/>
    </row>
    <row r="21" spans="1:22" ht="21" customHeight="1">
      <c r="B21" s="1719"/>
      <c r="C21" s="1719"/>
      <c r="D21" s="1720"/>
      <c r="E21" s="374"/>
      <c r="F21" s="611"/>
      <c r="G21" s="374"/>
      <c r="H21" s="615"/>
      <c r="I21" s="957"/>
      <c r="J21" s="374"/>
      <c r="K21" s="374"/>
      <c r="L21" s="614"/>
      <c r="P21" s="322"/>
      <c r="Q21" s="322"/>
      <c r="R21" s="322"/>
      <c r="S21" s="322"/>
      <c r="T21" s="322"/>
      <c r="U21" s="322"/>
      <c r="V21" s="322"/>
    </row>
    <row r="22" spans="1:22" ht="21" customHeight="1" thickBot="1">
      <c r="B22" s="1719"/>
      <c r="C22" s="1719"/>
      <c r="D22" s="1720"/>
      <c r="E22" s="616"/>
      <c r="F22" s="1467"/>
      <c r="G22" s="616"/>
      <c r="H22" s="1468"/>
      <c r="I22" s="958"/>
      <c r="J22" s="616"/>
      <c r="K22" s="616"/>
      <c r="L22" s="1469"/>
      <c r="P22" s="322"/>
      <c r="Q22" s="322"/>
      <c r="R22" s="322"/>
      <c r="S22" s="322"/>
      <c r="T22" s="322"/>
      <c r="U22" s="322"/>
      <c r="V22" s="322"/>
    </row>
    <row r="23" spans="1:22" ht="21" customHeight="1" thickTop="1" thickBot="1">
      <c r="B23" s="148"/>
      <c r="C23" s="27"/>
      <c r="D23" s="797" t="s">
        <v>3625</v>
      </c>
      <c r="E23" s="79">
        <f>SUM(E9:E22)</f>
        <v>4967750</v>
      </c>
      <c r="F23" s="14"/>
      <c r="G23" s="79">
        <f>SUM(G9:G22)</f>
        <v>4967750</v>
      </c>
      <c r="H23" s="79"/>
      <c r="I23" s="79"/>
      <c r="J23" s="79">
        <f>SUM(J9:J22)</f>
        <v>0</v>
      </c>
      <c r="K23" s="79">
        <f>SUM(K9:K22)</f>
        <v>99355</v>
      </c>
      <c r="L23" s="19"/>
      <c r="M23" s="254"/>
      <c r="P23" s="322"/>
      <c r="Q23" s="322"/>
      <c r="R23" s="322"/>
      <c r="S23" s="322"/>
      <c r="T23" s="322"/>
      <c r="U23" s="322"/>
      <c r="V23" s="322"/>
    </row>
    <row r="24" spans="1:22" ht="13.5" customHeight="1" thickTop="1">
      <c r="B24" s="206" t="s">
        <v>38</v>
      </c>
      <c r="C24" s="207"/>
      <c r="D24" s="208"/>
      <c r="E24" s="286"/>
      <c r="F24" s="286"/>
      <c r="G24" s="286"/>
      <c r="H24" s="286"/>
      <c r="I24" s="286"/>
      <c r="J24" s="990" t="s">
        <v>691</v>
      </c>
      <c r="K24" s="990" t="s">
        <v>692</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5"/>
  <dimension ref="A1:P35"/>
  <sheetViews>
    <sheetView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2.88671875" style="322" bestFit="1" customWidth="1"/>
    <col min="14" max="16384" width="9.109375" style="322"/>
  </cols>
  <sheetData>
    <row r="1" spans="1:16">
      <c r="B1" s="855"/>
      <c r="C1" s="855"/>
      <c r="D1" s="855"/>
      <c r="E1" s="855"/>
      <c r="F1" s="855"/>
      <c r="G1" s="855"/>
      <c r="H1" s="855"/>
      <c r="I1" s="855"/>
      <c r="J1" s="855"/>
      <c r="K1" s="855"/>
      <c r="L1" s="855"/>
    </row>
    <row r="2" spans="1:16" ht="20.399999999999999">
      <c r="B2" s="1595" t="s">
        <v>172</v>
      </c>
      <c r="C2" s="1595"/>
      <c r="D2" s="1595"/>
      <c r="E2" s="1595"/>
      <c r="F2" s="1595"/>
      <c r="G2" s="1595"/>
      <c r="H2" s="1595"/>
      <c r="I2" s="1595"/>
      <c r="J2" s="1595"/>
      <c r="K2" s="1595"/>
      <c r="L2" s="1595"/>
    </row>
    <row r="3" spans="1:16" ht="21" thickBot="1">
      <c r="B3" s="1595"/>
      <c r="C3" s="1595"/>
      <c r="D3" s="1595"/>
      <c r="E3" s="1595"/>
      <c r="F3" s="1595"/>
      <c r="G3" s="1595"/>
      <c r="H3" s="1595"/>
      <c r="I3" s="1595"/>
      <c r="J3" s="1595"/>
      <c r="K3" s="1595"/>
      <c r="L3" s="1595"/>
    </row>
    <row r="4" spans="1:16" ht="13.5" customHeight="1" thickTop="1">
      <c r="B4" s="888"/>
      <c r="C4" s="888"/>
      <c r="D4" s="888"/>
      <c r="E4" s="889"/>
      <c r="F4" s="889"/>
      <c r="G4" s="889"/>
      <c r="H4" s="889"/>
      <c r="I4" s="889"/>
      <c r="J4" s="888"/>
      <c r="K4" s="888"/>
      <c r="L4" s="865"/>
    </row>
    <row r="5" spans="1:16" ht="13.5" customHeight="1">
      <c r="B5" s="855"/>
      <c r="C5" s="855"/>
      <c r="D5" s="855"/>
      <c r="E5" s="891" t="s">
        <v>176</v>
      </c>
      <c r="F5" s="896" t="s">
        <v>176</v>
      </c>
      <c r="G5" s="896" t="s">
        <v>533</v>
      </c>
      <c r="H5" s="896" t="s">
        <v>18</v>
      </c>
      <c r="I5" s="896" t="s">
        <v>685</v>
      </c>
      <c r="J5" s="1729" t="str">
        <f>TEXT('KEY INPUTS'!D33,"0")&amp;" Budget Requirements"</f>
        <v>2020 Budget Requirements</v>
      </c>
      <c r="K5" s="1730"/>
      <c r="L5" s="866" t="s">
        <v>686</v>
      </c>
    </row>
    <row r="6" spans="1:16" ht="13.5" customHeight="1">
      <c r="B6" s="855"/>
      <c r="C6" s="1596" t="s">
        <v>175</v>
      </c>
      <c r="D6" s="1597"/>
      <c r="E6" s="891" t="s">
        <v>533</v>
      </c>
      <c r="F6" s="896" t="s">
        <v>177</v>
      </c>
      <c r="G6" s="896" t="s">
        <v>682</v>
      </c>
      <c r="H6" s="896" t="s">
        <v>683</v>
      </c>
      <c r="I6" s="896" t="s">
        <v>683</v>
      </c>
      <c r="J6" s="1731"/>
      <c r="K6" s="1732"/>
      <c r="L6" s="866" t="s">
        <v>689</v>
      </c>
    </row>
    <row r="7" spans="1:16" ht="13.5" customHeight="1">
      <c r="B7" s="855"/>
      <c r="C7" s="855"/>
      <c r="D7" s="855"/>
      <c r="E7" s="891" t="s">
        <v>113</v>
      </c>
      <c r="F7" s="891" t="s">
        <v>178</v>
      </c>
      <c r="G7" s="891" t="s">
        <v>257</v>
      </c>
      <c r="H7" s="891" t="s">
        <v>684</v>
      </c>
      <c r="I7" s="891" t="s">
        <v>686</v>
      </c>
      <c r="J7" s="891" t="s">
        <v>142</v>
      </c>
      <c r="K7" s="891" t="s">
        <v>687</v>
      </c>
      <c r="L7" s="866" t="s">
        <v>690</v>
      </c>
    </row>
    <row r="8" spans="1:16" ht="13.5" customHeight="1" thickBot="1">
      <c r="B8" s="897"/>
      <c r="C8" s="897"/>
      <c r="D8" s="897"/>
      <c r="E8" s="898"/>
      <c r="F8" s="898"/>
      <c r="G8" s="1095" t="str">
        <f>'KEY INPUTS'!D46</f>
        <v>Dec. 31, 2019</v>
      </c>
      <c r="H8" s="898"/>
      <c r="I8" s="898"/>
      <c r="J8" s="899"/>
      <c r="K8" s="1096" t="s">
        <v>688</v>
      </c>
      <c r="L8" s="868"/>
    </row>
    <row r="9" spans="1:16" ht="21" customHeight="1" thickTop="1">
      <c r="B9" s="1050"/>
      <c r="C9" s="845" t="s">
        <v>3547</v>
      </c>
      <c r="D9" s="1030"/>
      <c r="E9" s="844">
        <f>+'33-Note Debt Service'!E23</f>
        <v>4967750</v>
      </c>
      <c r="F9" s="1097"/>
      <c r="G9" s="844">
        <f>+'33-Note Debt Service'!G23</f>
        <v>4967750</v>
      </c>
      <c r="H9" s="1098"/>
      <c r="I9" s="1099"/>
      <c r="J9" s="1100">
        <f>+'33-Note Debt Service'!J23</f>
        <v>0</v>
      </c>
      <c r="K9" s="844">
        <f>+'33-Note Debt Service'!K23</f>
        <v>99355</v>
      </c>
      <c r="L9" s="1101"/>
      <c r="M9" s="325"/>
    </row>
    <row r="10" spans="1:16" ht="21" customHeight="1">
      <c r="B10" s="87"/>
      <c r="C10" s="1005"/>
      <c r="D10" s="1006"/>
      <c r="E10" s="374"/>
      <c r="F10" s="611"/>
      <c r="G10" s="374"/>
      <c r="H10" s="612"/>
      <c r="I10" s="957"/>
      <c r="J10" s="613"/>
      <c r="K10" s="374"/>
      <c r="L10" s="614"/>
      <c r="M10" s="325"/>
    </row>
    <row r="11" spans="1:16" ht="21" customHeight="1">
      <c r="B11" s="87"/>
      <c r="C11" s="1005"/>
      <c r="D11" s="1006"/>
      <c r="E11" s="374"/>
      <c r="F11" s="611"/>
      <c r="G11" s="374"/>
      <c r="H11" s="612"/>
      <c r="I11" s="957"/>
      <c r="J11" s="613"/>
      <c r="K11" s="374"/>
      <c r="L11" s="614"/>
      <c r="M11" s="325"/>
    </row>
    <row r="12" spans="1:16" ht="21" customHeight="1">
      <c r="B12" s="87"/>
      <c r="C12" s="1005"/>
      <c r="D12" s="1006"/>
      <c r="E12" s="374"/>
      <c r="F12" s="611"/>
      <c r="G12" s="374"/>
      <c r="H12" s="612"/>
      <c r="I12" s="957"/>
      <c r="J12" s="613"/>
      <c r="K12" s="374"/>
      <c r="L12" s="614"/>
      <c r="M12" s="325"/>
      <c r="P12" s="377"/>
    </row>
    <row r="13" spans="1:16" ht="21" customHeight="1">
      <c r="B13" s="87"/>
      <c r="C13" s="1005"/>
      <c r="D13" s="1006"/>
      <c r="E13" s="374"/>
      <c r="F13" s="611"/>
      <c r="G13" s="374"/>
      <c r="H13" s="612"/>
      <c r="I13" s="957"/>
      <c r="J13" s="613"/>
      <c r="K13" s="374"/>
      <c r="L13" s="614"/>
      <c r="M13" s="325"/>
    </row>
    <row r="14" spans="1:16" ht="21" customHeight="1">
      <c r="B14" s="87"/>
      <c r="C14" s="1005"/>
      <c r="D14" s="1006"/>
      <c r="E14" s="374"/>
      <c r="F14" s="611"/>
      <c r="G14" s="374"/>
      <c r="H14" s="612"/>
      <c r="I14" s="957"/>
      <c r="J14" s="374"/>
      <c r="K14" s="374"/>
      <c r="L14" s="614"/>
    </row>
    <row r="15" spans="1:16" ht="21" customHeight="1">
      <c r="A15" s="1576" t="s">
        <v>3624</v>
      </c>
      <c r="B15" s="87"/>
      <c r="C15" s="1005"/>
      <c r="D15" s="1006"/>
      <c r="E15" s="374"/>
      <c r="F15" s="611"/>
      <c r="G15" s="374"/>
      <c r="H15" s="612"/>
      <c r="I15" s="957"/>
      <c r="J15" s="374"/>
      <c r="K15" s="374"/>
      <c r="L15" s="614"/>
    </row>
    <row r="16" spans="1:16" ht="21" customHeight="1">
      <c r="A16" s="1576"/>
      <c r="B16" s="87"/>
      <c r="C16" s="1005"/>
      <c r="D16" s="1006"/>
      <c r="E16" s="374"/>
      <c r="F16" s="611"/>
      <c r="G16" s="374"/>
      <c r="H16" s="612"/>
      <c r="I16" s="957"/>
      <c r="J16" s="374"/>
      <c r="K16" s="374"/>
      <c r="L16" s="614"/>
    </row>
    <row r="17" spans="1:13" ht="21" customHeight="1">
      <c r="A17" s="1576"/>
      <c r="B17" s="87"/>
      <c r="C17" s="1005"/>
      <c r="D17" s="1006"/>
      <c r="E17" s="374"/>
      <c r="F17" s="611"/>
      <c r="G17" s="374"/>
      <c r="H17" s="612"/>
      <c r="I17" s="957"/>
      <c r="J17" s="374"/>
      <c r="K17" s="374"/>
      <c r="L17" s="614"/>
    </row>
    <row r="18" spans="1:13" ht="21" customHeight="1">
      <c r="A18" s="138"/>
      <c r="B18" s="87"/>
      <c r="C18" s="1005"/>
      <c r="D18" s="1006"/>
      <c r="E18" s="374"/>
      <c r="F18" s="611"/>
      <c r="G18" s="374"/>
      <c r="H18" s="612"/>
      <c r="I18" s="957"/>
      <c r="J18" s="374"/>
      <c r="K18" s="374"/>
      <c r="L18" s="614"/>
    </row>
    <row r="19" spans="1:13" ht="21" customHeight="1">
      <c r="B19" s="87"/>
      <c r="C19" s="1005"/>
      <c r="D19" s="1006"/>
      <c r="E19" s="374"/>
      <c r="F19" s="611"/>
      <c r="G19" s="374"/>
      <c r="H19" s="612"/>
      <c r="I19" s="957"/>
      <c r="J19" s="374"/>
      <c r="K19" s="374"/>
      <c r="L19" s="614"/>
    </row>
    <row r="20" spans="1:13" ht="21" customHeight="1">
      <c r="B20" s="87"/>
      <c r="C20" s="1005"/>
      <c r="D20" s="1006"/>
      <c r="E20" s="374"/>
      <c r="F20" s="611"/>
      <c r="G20" s="374"/>
      <c r="H20" s="612"/>
      <c r="I20" s="957"/>
      <c r="J20" s="374"/>
      <c r="K20" s="374"/>
      <c r="L20" s="614"/>
    </row>
    <row r="21" spans="1:13" ht="21" customHeight="1">
      <c r="B21" s="87"/>
      <c r="C21" s="1005"/>
      <c r="D21" s="1006"/>
      <c r="E21" s="374"/>
      <c r="F21" s="611"/>
      <c r="G21" s="374"/>
      <c r="H21" s="615"/>
      <c r="I21" s="957"/>
      <c r="J21" s="374"/>
      <c r="K21" s="374"/>
      <c r="L21" s="614"/>
    </row>
    <row r="22" spans="1:13" ht="21" customHeight="1" thickBot="1">
      <c r="B22" s="87"/>
      <c r="C22" s="1005"/>
      <c r="D22" s="1006"/>
      <c r="E22" s="616"/>
      <c r="F22" s="1467"/>
      <c r="G22" s="616"/>
      <c r="H22" s="1468"/>
      <c r="I22" s="958"/>
      <c r="J22" s="616"/>
      <c r="K22" s="616"/>
      <c r="L22" s="1469"/>
    </row>
    <row r="23" spans="1:13" ht="21" customHeight="1" thickTop="1" thickBot="1">
      <c r="B23" s="148"/>
      <c r="C23" s="27"/>
      <c r="D23" s="797" t="s">
        <v>3626</v>
      </c>
      <c r="E23" s="79">
        <f>SUM(E9:E22)</f>
        <v>4967750</v>
      </c>
      <c r="F23" s="14"/>
      <c r="G23" s="79">
        <f>SUM(G9:G22)</f>
        <v>4967750</v>
      </c>
      <c r="H23" s="79"/>
      <c r="I23" s="79"/>
      <c r="J23" s="79">
        <f>SUM(J9:J22)</f>
        <v>0</v>
      </c>
      <c r="K23" s="79">
        <f>SUM(K9:K22)</f>
        <v>99355</v>
      </c>
      <c r="L23" s="19"/>
      <c r="M23" s="254"/>
    </row>
    <row r="24" spans="1:13" ht="13.5" customHeight="1" thickTop="1">
      <c r="B24" s="206" t="s">
        <v>38</v>
      </c>
      <c r="C24" s="207"/>
      <c r="D24" s="208"/>
      <c r="E24" s="286"/>
      <c r="F24" s="286"/>
      <c r="G24" s="286"/>
      <c r="H24" s="286"/>
      <c r="I24" s="286"/>
      <c r="J24" s="990" t="s">
        <v>691</v>
      </c>
      <c r="K24" s="990" t="s">
        <v>692</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6"/>
  <dimension ref="A1:P35"/>
  <sheetViews>
    <sheetView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2.88671875" style="322" bestFit="1" customWidth="1"/>
    <col min="14" max="16384" width="9.109375" style="322"/>
  </cols>
  <sheetData>
    <row r="1" spans="1:16">
      <c r="B1" s="855"/>
      <c r="C1" s="855"/>
      <c r="D1" s="855"/>
      <c r="E1" s="855"/>
      <c r="F1" s="855"/>
      <c r="G1" s="855"/>
      <c r="H1" s="855"/>
      <c r="I1" s="855"/>
      <c r="J1" s="855"/>
      <c r="K1" s="855"/>
      <c r="L1" s="855"/>
    </row>
    <row r="2" spans="1:16" ht="20.399999999999999">
      <c r="B2" s="1595" t="s">
        <v>172</v>
      </c>
      <c r="C2" s="1595"/>
      <c r="D2" s="1595"/>
      <c r="E2" s="1595"/>
      <c r="F2" s="1595"/>
      <c r="G2" s="1595"/>
      <c r="H2" s="1595"/>
      <c r="I2" s="1595"/>
      <c r="J2" s="1595"/>
      <c r="K2" s="1595"/>
      <c r="L2" s="1595"/>
    </row>
    <row r="3" spans="1:16" ht="21" thickBot="1">
      <c r="B3" s="1595"/>
      <c r="C3" s="1595"/>
      <c r="D3" s="1595"/>
      <c r="E3" s="1595"/>
      <c r="F3" s="1595"/>
      <c r="G3" s="1595"/>
      <c r="H3" s="1595"/>
      <c r="I3" s="1595"/>
      <c r="J3" s="1595"/>
      <c r="K3" s="1595"/>
      <c r="L3" s="1595"/>
    </row>
    <row r="4" spans="1:16" ht="13.5" customHeight="1" thickTop="1">
      <c r="B4" s="888"/>
      <c r="C4" s="888"/>
      <c r="D4" s="888"/>
      <c r="E4" s="889"/>
      <c r="F4" s="889"/>
      <c r="G4" s="889"/>
      <c r="H4" s="889"/>
      <c r="I4" s="889"/>
      <c r="J4" s="888"/>
      <c r="K4" s="888"/>
      <c r="L4" s="865"/>
    </row>
    <row r="5" spans="1:16" ht="13.5" customHeight="1">
      <c r="B5" s="855"/>
      <c r="C5" s="855"/>
      <c r="D5" s="855"/>
      <c r="E5" s="891" t="s">
        <v>176</v>
      </c>
      <c r="F5" s="896" t="s">
        <v>176</v>
      </c>
      <c r="G5" s="896" t="s">
        <v>533</v>
      </c>
      <c r="H5" s="896" t="s">
        <v>18</v>
      </c>
      <c r="I5" s="896" t="s">
        <v>685</v>
      </c>
      <c r="J5" s="1729" t="str">
        <f>TEXT('KEY INPUTS'!D33,"0")&amp;" Budget Requirements"</f>
        <v>2020 Budget Requirements</v>
      </c>
      <c r="K5" s="1730"/>
      <c r="L5" s="866" t="s">
        <v>686</v>
      </c>
    </row>
    <row r="6" spans="1:16" ht="13.5" customHeight="1">
      <c r="B6" s="855"/>
      <c r="C6" s="1596" t="s">
        <v>175</v>
      </c>
      <c r="D6" s="1597"/>
      <c r="E6" s="891" t="s">
        <v>533</v>
      </c>
      <c r="F6" s="896" t="s">
        <v>177</v>
      </c>
      <c r="G6" s="896" t="s">
        <v>682</v>
      </c>
      <c r="H6" s="896" t="s">
        <v>683</v>
      </c>
      <c r="I6" s="896" t="s">
        <v>683</v>
      </c>
      <c r="J6" s="1731"/>
      <c r="K6" s="1732"/>
      <c r="L6" s="866" t="s">
        <v>689</v>
      </c>
    </row>
    <row r="7" spans="1:16" ht="13.5" customHeight="1">
      <c r="B7" s="855"/>
      <c r="C7" s="855"/>
      <c r="D7" s="855"/>
      <c r="E7" s="891" t="s">
        <v>113</v>
      </c>
      <c r="F7" s="891" t="s">
        <v>178</v>
      </c>
      <c r="G7" s="891" t="s">
        <v>257</v>
      </c>
      <c r="H7" s="891" t="s">
        <v>684</v>
      </c>
      <c r="I7" s="891" t="s">
        <v>686</v>
      </c>
      <c r="J7" s="891" t="s">
        <v>142</v>
      </c>
      <c r="K7" s="891" t="s">
        <v>687</v>
      </c>
      <c r="L7" s="866" t="s">
        <v>690</v>
      </c>
    </row>
    <row r="8" spans="1:16" ht="13.5" customHeight="1" thickBot="1">
      <c r="B8" s="897"/>
      <c r="C8" s="897"/>
      <c r="D8" s="897"/>
      <c r="E8" s="898"/>
      <c r="F8" s="898"/>
      <c r="G8" s="1095" t="str">
        <f>'KEY INPUTS'!D46</f>
        <v>Dec. 31, 2019</v>
      </c>
      <c r="H8" s="898"/>
      <c r="I8" s="898"/>
      <c r="J8" s="899"/>
      <c r="K8" s="1096" t="s">
        <v>688</v>
      </c>
      <c r="L8" s="868"/>
    </row>
    <row r="9" spans="1:16" ht="21" customHeight="1" thickTop="1">
      <c r="B9" s="1050"/>
      <c r="C9" s="845" t="s">
        <v>3547</v>
      </c>
      <c r="D9" s="1030"/>
      <c r="E9" s="844">
        <f>+'33.1-Note Debt Service'!E23</f>
        <v>4967750</v>
      </c>
      <c r="F9" s="1097"/>
      <c r="G9" s="844">
        <f>+'33.1-Note Debt Service'!G23</f>
        <v>4967750</v>
      </c>
      <c r="H9" s="1098"/>
      <c r="I9" s="1099"/>
      <c r="J9" s="1100">
        <f>+'33.1-Note Debt Service'!J23</f>
        <v>0</v>
      </c>
      <c r="K9" s="844">
        <f>+'33.1-Note Debt Service'!K23</f>
        <v>99355</v>
      </c>
      <c r="L9" s="1101"/>
      <c r="M9" s="325"/>
    </row>
    <row r="10" spans="1:16" ht="21" customHeight="1">
      <c r="B10" s="87"/>
      <c r="C10" s="1562"/>
      <c r="D10" s="1563"/>
      <c r="E10" s="374"/>
      <c r="F10" s="611"/>
      <c r="G10" s="374"/>
      <c r="H10" s="612"/>
      <c r="I10" s="957"/>
      <c r="J10" s="613"/>
      <c r="K10" s="374"/>
      <c r="L10" s="614"/>
      <c r="M10" s="325"/>
    </row>
    <row r="11" spans="1:16" ht="21" customHeight="1">
      <c r="B11" s="87"/>
      <c r="C11" s="1562"/>
      <c r="D11" s="1563"/>
      <c r="E11" s="374"/>
      <c r="F11" s="611"/>
      <c r="G11" s="374"/>
      <c r="H11" s="612"/>
      <c r="I11" s="957"/>
      <c r="J11" s="613"/>
      <c r="K11" s="374"/>
      <c r="L11" s="614"/>
      <c r="M11" s="325"/>
    </row>
    <row r="12" spans="1:16" ht="21" customHeight="1">
      <c r="B12" s="87"/>
      <c r="C12" s="1562"/>
      <c r="D12" s="1563"/>
      <c r="E12" s="374"/>
      <c r="F12" s="611"/>
      <c r="G12" s="374"/>
      <c r="H12" s="612"/>
      <c r="I12" s="957"/>
      <c r="J12" s="613"/>
      <c r="K12" s="374"/>
      <c r="L12" s="614"/>
      <c r="M12" s="325"/>
      <c r="P12" s="377"/>
    </row>
    <row r="13" spans="1:16" ht="21" customHeight="1">
      <c r="B13" s="87"/>
      <c r="C13" s="1562"/>
      <c r="D13" s="1563"/>
      <c r="E13" s="374"/>
      <c r="F13" s="611"/>
      <c r="G13" s="374"/>
      <c r="H13" s="612"/>
      <c r="I13" s="957"/>
      <c r="J13" s="613"/>
      <c r="K13" s="374"/>
      <c r="L13" s="614"/>
      <c r="M13" s="325"/>
    </row>
    <row r="14" spans="1:16" ht="21" customHeight="1">
      <c r="B14" s="87"/>
      <c r="C14" s="1562"/>
      <c r="D14" s="1563"/>
      <c r="E14" s="374"/>
      <c r="F14" s="611"/>
      <c r="G14" s="374"/>
      <c r="H14" s="612"/>
      <c r="I14" s="957"/>
      <c r="J14" s="374"/>
      <c r="K14" s="374"/>
      <c r="L14" s="614"/>
    </row>
    <row r="15" spans="1:16" ht="21" customHeight="1">
      <c r="A15" s="1576" t="s">
        <v>3627</v>
      </c>
      <c r="B15" s="87"/>
      <c r="C15" s="1562"/>
      <c r="D15" s="1563"/>
      <c r="E15" s="374"/>
      <c r="F15" s="611"/>
      <c r="G15" s="374"/>
      <c r="H15" s="612"/>
      <c r="I15" s="957"/>
      <c r="J15" s="374"/>
      <c r="K15" s="374"/>
      <c r="L15" s="614"/>
    </row>
    <row r="16" spans="1:16" ht="21" customHeight="1">
      <c r="A16" s="1576"/>
      <c r="B16" s="87"/>
      <c r="C16" s="1562"/>
      <c r="D16" s="1563"/>
      <c r="E16" s="374"/>
      <c r="F16" s="611"/>
      <c r="G16" s="374"/>
      <c r="H16" s="612"/>
      <c r="I16" s="957"/>
      <c r="J16" s="374"/>
      <c r="K16" s="374"/>
      <c r="L16" s="614"/>
    </row>
    <row r="17" spans="1:13" ht="21" customHeight="1">
      <c r="A17" s="1576"/>
      <c r="B17" s="87"/>
      <c r="C17" s="1562"/>
      <c r="D17" s="1563"/>
      <c r="E17" s="374"/>
      <c r="F17" s="611"/>
      <c r="G17" s="374"/>
      <c r="H17" s="612"/>
      <c r="I17" s="957"/>
      <c r="J17" s="374"/>
      <c r="K17" s="374"/>
      <c r="L17" s="614"/>
    </row>
    <row r="18" spans="1:13" ht="21" customHeight="1">
      <c r="A18" s="138"/>
      <c r="B18" s="87"/>
      <c r="C18" s="1562"/>
      <c r="D18" s="1563"/>
      <c r="E18" s="374"/>
      <c r="F18" s="611"/>
      <c r="G18" s="374"/>
      <c r="H18" s="612"/>
      <c r="I18" s="957"/>
      <c r="J18" s="374"/>
      <c r="K18" s="374"/>
      <c r="L18" s="614"/>
    </row>
    <row r="19" spans="1:13" ht="21" customHeight="1">
      <c r="B19" s="87"/>
      <c r="C19" s="1562"/>
      <c r="D19" s="1563"/>
      <c r="E19" s="374"/>
      <c r="F19" s="611"/>
      <c r="G19" s="374"/>
      <c r="H19" s="612"/>
      <c r="I19" s="957"/>
      <c r="J19" s="374"/>
      <c r="K19" s="374"/>
      <c r="L19" s="614"/>
    </row>
    <row r="20" spans="1:13" ht="21" customHeight="1">
      <c r="B20" s="87"/>
      <c r="C20" s="1562"/>
      <c r="D20" s="1563"/>
      <c r="E20" s="374"/>
      <c r="F20" s="611"/>
      <c r="G20" s="374"/>
      <c r="H20" s="612"/>
      <c r="I20" s="957"/>
      <c r="J20" s="374"/>
      <c r="K20" s="374"/>
      <c r="L20" s="614"/>
    </row>
    <row r="21" spans="1:13" ht="21" customHeight="1">
      <c r="B21" s="87"/>
      <c r="C21" s="1562"/>
      <c r="D21" s="1563"/>
      <c r="E21" s="374"/>
      <c r="F21" s="611"/>
      <c r="G21" s="374"/>
      <c r="H21" s="615"/>
      <c r="I21" s="957"/>
      <c r="J21" s="374"/>
      <c r="K21" s="374"/>
      <c r="L21" s="614"/>
    </row>
    <row r="22" spans="1:13" ht="21" customHeight="1" thickBot="1">
      <c r="B22" s="87"/>
      <c r="C22" s="1562"/>
      <c r="D22" s="1563"/>
      <c r="E22" s="616"/>
      <c r="F22" s="1467"/>
      <c r="G22" s="616"/>
      <c r="H22" s="1468"/>
      <c r="I22" s="958"/>
      <c r="J22" s="616"/>
      <c r="K22" s="616"/>
      <c r="L22" s="1469"/>
    </row>
    <row r="23" spans="1:13" ht="21" customHeight="1" thickTop="1" thickBot="1">
      <c r="B23" s="148"/>
      <c r="C23" s="27"/>
      <c r="D23" s="797" t="s">
        <v>3626</v>
      </c>
      <c r="E23" s="79">
        <f>SUM(E9:E22)</f>
        <v>4967750</v>
      </c>
      <c r="F23" s="14"/>
      <c r="G23" s="79">
        <f>SUM(G9:G22)</f>
        <v>4967750</v>
      </c>
      <c r="H23" s="79"/>
      <c r="I23" s="79"/>
      <c r="J23" s="79">
        <f>SUM(J9:J22)</f>
        <v>0</v>
      </c>
      <c r="K23" s="79">
        <f>SUM(K9:K22)</f>
        <v>99355</v>
      </c>
      <c r="L23" s="19"/>
      <c r="M23" s="254"/>
    </row>
    <row r="24" spans="1:13" ht="13.5" customHeight="1" thickTop="1">
      <c r="B24" s="206" t="s">
        <v>38</v>
      </c>
      <c r="C24" s="207"/>
      <c r="D24" s="208"/>
      <c r="E24" s="286"/>
      <c r="F24" s="286"/>
      <c r="G24" s="286"/>
      <c r="H24" s="286"/>
      <c r="I24" s="286"/>
      <c r="J24" s="990" t="s">
        <v>691</v>
      </c>
      <c r="K24" s="990" t="s">
        <v>692</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7"/>
  <dimension ref="A1:U29"/>
  <sheetViews>
    <sheetView workbookViewId="0">
      <selection activeCell="B1" sqref="B1"/>
    </sheetView>
  </sheetViews>
  <sheetFormatPr defaultRowHeight="13.2"/>
  <cols>
    <col min="1" max="1" width="5.6640625" customWidth="1"/>
    <col min="2" max="3" width="4.88671875" customWidth="1"/>
    <col min="4" max="4" width="30.6640625" customWidth="1"/>
    <col min="5" max="12" width="15.6640625" customWidth="1"/>
  </cols>
  <sheetData>
    <row r="1" spans="1:21">
      <c r="B1" s="322"/>
      <c r="C1" s="322"/>
      <c r="D1" s="322"/>
      <c r="E1" s="322"/>
      <c r="F1" s="322"/>
      <c r="G1" s="322"/>
      <c r="H1" s="322"/>
      <c r="I1" s="322"/>
      <c r="J1" s="322"/>
      <c r="K1" s="322"/>
      <c r="L1" s="322"/>
    </row>
    <row r="2" spans="1:21" ht="20.399999999999999">
      <c r="B2" s="1508" t="s">
        <v>654</v>
      </c>
      <c r="C2" s="1508"/>
      <c r="D2" s="1508"/>
      <c r="E2" s="1508"/>
      <c r="F2" s="1508"/>
      <c r="G2" s="1508"/>
      <c r="H2" s="1508"/>
      <c r="I2" s="1508"/>
      <c r="J2" s="1508"/>
      <c r="K2" s="1508"/>
      <c r="L2" s="1508"/>
    </row>
    <row r="3" spans="1:21" ht="21" thickBot="1">
      <c r="B3" s="1508"/>
      <c r="C3" s="1508"/>
      <c r="D3" s="1508"/>
      <c r="E3" s="1508"/>
      <c r="F3" s="1508"/>
      <c r="G3" s="1508"/>
      <c r="H3" s="1508"/>
      <c r="I3" s="1508"/>
      <c r="J3" s="1508"/>
      <c r="K3" s="1508"/>
      <c r="L3" s="1508"/>
    </row>
    <row r="4" spans="1:21" ht="13.5" customHeight="1" thickTop="1">
      <c r="B4" s="11"/>
      <c r="C4" s="11"/>
      <c r="D4" s="11"/>
      <c r="E4" s="12"/>
      <c r="F4" s="12"/>
      <c r="G4" s="12"/>
      <c r="H4" s="12"/>
      <c r="I4" s="12"/>
      <c r="J4" s="11"/>
      <c r="K4" s="11"/>
      <c r="L4" s="18"/>
    </row>
    <row r="5" spans="1:21" ht="13.5" customHeight="1">
      <c r="B5" s="322"/>
      <c r="C5" s="322"/>
      <c r="D5" s="322"/>
      <c r="E5" s="282" t="s">
        <v>176</v>
      </c>
      <c r="F5" s="999" t="s">
        <v>176</v>
      </c>
      <c r="G5" s="999" t="s">
        <v>533</v>
      </c>
      <c r="H5" s="999" t="s">
        <v>18</v>
      </c>
      <c r="I5" s="999" t="s">
        <v>685</v>
      </c>
      <c r="J5" s="1721" t="str">
        <f>'33-Note Debt Service'!J5:K6</f>
        <v>2020 Budget Requirements</v>
      </c>
      <c r="K5" s="1722"/>
      <c r="L5" s="21" t="s">
        <v>686</v>
      </c>
    </row>
    <row r="6" spans="1:21" ht="13.5" customHeight="1">
      <c r="B6" s="322"/>
      <c r="C6" s="1545" t="s">
        <v>175</v>
      </c>
      <c r="D6" s="1594"/>
      <c r="E6" s="282" t="s">
        <v>533</v>
      </c>
      <c r="F6" s="999" t="s">
        <v>177</v>
      </c>
      <c r="G6" s="999" t="s">
        <v>682</v>
      </c>
      <c r="H6" s="999" t="s">
        <v>683</v>
      </c>
      <c r="I6" s="999" t="s">
        <v>683</v>
      </c>
      <c r="J6" s="1723"/>
      <c r="K6" s="1724"/>
      <c r="L6" s="21" t="s">
        <v>689</v>
      </c>
    </row>
    <row r="7" spans="1:21" ht="13.5" customHeight="1">
      <c r="B7" s="322"/>
      <c r="C7" s="322"/>
      <c r="D7" s="322"/>
      <c r="E7" s="282" t="s">
        <v>113</v>
      </c>
      <c r="F7" s="282" t="s">
        <v>178</v>
      </c>
      <c r="G7" s="282" t="s">
        <v>257</v>
      </c>
      <c r="H7" s="282" t="s">
        <v>684</v>
      </c>
      <c r="I7" s="282" t="s">
        <v>686</v>
      </c>
      <c r="J7" s="282" t="s">
        <v>142</v>
      </c>
      <c r="K7" s="282" t="s">
        <v>687</v>
      </c>
      <c r="L7" s="21" t="s">
        <v>690</v>
      </c>
    </row>
    <row r="8" spans="1:21" ht="13.5" customHeight="1" thickBot="1">
      <c r="B8" s="10"/>
      <c r="C8" s="10"/>
      <c r="D8" s="10"/>
      <c r="E8" s="14"/>
      <c r="F8" s="14"/>
      <c r="G8" s="305" t="str">
        <f>'KEY INPUTS'!D46</f>
        <v>Dec. 31, 2019</v>
      </c>
      <c r="H8" s="14"/>
      <c r="I8" s="14"/>
      <c r="J8" s="16"/>
      <c r="K8" s="149" t="s">
        <v>688</v>
      </c>
      <c r="L8" s="19"/>
    </row>
    <row r="9" spans="1:21" ht="21" customHeight="1" thickTop="1">
      <c r="B9" s="86" t="s">
        <v>384</v>
      </c>
      <c r="C9" s="1733"/>
      <c r="D9" s="1734"/>
      <c r="E9" s="618"/>
      <c r="F9" s="619"/>
      <c r="G9" s="618"/>
      <c r="H9" s="618"/>
      <c r="I9" s="959"/>
      <c r="J9" s="618"/>
      <c r="K9" s="618"/>
      <c r="L9" s="621"/>
      <c r="O9" s="322"/>
      <c r="P9" s="322"/>
      <c r="Q9" s="322"/>
      <c r="R9" s="322"/>
      <c r="S9" s="322"/>
      <c r="T9" s="322"/>
      <c r="U9" s="322"/>
    </row>
    <row r="10" spans="1:21" ht="21" customHeight="1">
      <c r="B10" s="87" t="s">
        <v>385</v>
      </c>
      <c r="C10" s="1562"/>
      <c r="D10" s="1563"/>
      <c r="E10" s="601"/>
      <c r="F10" s="622"/>
      <c r="G10" s="601"/>
      <c r="H10" s="601"/>
      <c r="I10" s="960"/>
      <c r="J10" s="601"/>
      <c r="K10" s="601"/>
      <c r="L10" s="624"/>
      <c r="O10" s="322"/>
      <c r="P10" s="322"/>
      <c r="Q10" s="322"/>
      <c r="R10" s="322"/>
      <c r="S10" s="322"/>
      <c r="T10" s="322"/>
      <c r="U10" s="322"/>
    </row>
    <row r="11" spans="1:21" ht="21" customHeight="1">
      <c r="B11" s="87" t="s">
        <v>386</v>
      </c>
      <c r="C11" s="1562"/>
      <c r="D11" s="1563"/>
      <c r="E11" s="601"/>
      <c r="F11" s="622"/>
      <c r="G11" s="601"/>
      <c r="H11" s="601"/>
      <c r="I11" s="960"/>
      <c r="J11" s="601"/>
      <c r="K11" s="601"/>
      <c r="L11" s="624"/>
      <c r="O11" s="377"/>
      <c r="P11" s="322"/>
      <c r="Q11" s="322"/>
      <c r="R11" s="322"/>
      <c r="S11" s="322"/>
      <c r="T11" s="322"/>
      <c r="U11" s="322"/>
    </row>
    <row r="12" spans="1:21" ht="21" customHeight="1">
      <c r="B12" s="87" t="s">
        <v>387</v>
      </c>
      <c r="C12" s="1562"/>
      <c r="D12" s="1563"/>
      <c r="E12" s="601"/>
      <c r="F12" s="622"/>
      <c r="G12" s="601"/>
      <c r="H12" s="601"/>
      <c r="I12" s="960"/>
      <c r="J12" s="601"/>
      <c r="K12" s="601"/>
      <c r="L12" s="624"/>
      <c r="O12" s="322"/>
      <c r="P12" s="322"/>
      <c r="Q12" s="322"/>
      <c r="R12" s="322"/>
      <c r="S12" s="322"/>
      <c r="T12" s="322"/>
      <c r="U12" s="322"/>
    </row>
    <row r="13" spans="1:21" ht="21" customHeight="1">
      <c r="B13" s="87" t="s">
        <v>388</v>
      </c>
      <c r="C13" s="1562"/>
      <c r="D13" s="1563"/>
      <c r="E13" s="601"/>
      <c r="F13" s="622"/>
      <c r="G13" s="601"/>
      <c r="H13" s="601"/>
      <c r="I13" s="960"/>
      <c r="J13" s="601"/>
      <c r="K13" s="601"/>
      <c r="L13" s="624"/>
      <c r="O13" s="322"/>
      <c r="P13" s="322"/>
      <c r="Q13" s="322"/>
      <c r="R13" s="322"/>
      <c r="S13" s="322"/>
      <c r="T13" s="322"/>
      <c r="U13" s="322"/>
    </row>
    <row r="14" spans="1:21" ht="21" customHeight="1">
      <c r="B14" s="87" t="s">
        <v>389</v>
      </c>
      <c r="C14" s="1562"/>
      <c r="D14" s="1563"/>
      <c r="E14" s="604"/>
      <c r="F14" s="625"/>
      <c r="G14" s="604"/>
      <c r="H14" s="604"/>
      <c r="I14" s="961"/>
      <c r="J14" s="601"/>
      <c r="K14" s="601"/>
      <c r="L14" s="624"/>
      <c r="O14" s="322"/>
      <c r="P14" s="322"/>
      <c r="Q14" s="322"/>
      <c r="R14" s="322"/>
      <c r="S14" s="322"/>
      <c r="T14" s="322"/>
      <c r="U14" s="322"/>
    </row>
    <row r="15" spans="1:21" ht="21" customHeight="1">
      <c r="A15" s="1576" t="s">
        <v>693</v>
      </c>
      <c r="B15" s="87" t="s">
        <v>390</v>
      </c>
      <c r="C15" s="1562"/>
      <c r="D15" s="1563"/>
      <c r="E15" s="601"/>
      <c r="F15" s="622"/>
      <c r="G15" s="601"/>
      <c r="H15" s="601"/>
      <c r="I15" s="960"/>
      <c r="J15" s="601"/>
      <c r="K15" s="601"/>
      <c r="L15" s="624"/>
      <c r="O15" s="322"/>
      <c r="P15" s="322"/>
      <c r="Q15" s="322"/>
      <c r="R15" s="322"/>
      <c r="S15" s="322"/>
      <c r="T15" s="322"/>
      <c r="U15" s="322"/>
    </row>
    <row r="16" spans="1:21" ht="21" customHeight="1">
      <c r="A16" s="1576"/>
      <c r="B16" s="87" t="s">
        <v>501</v>
      </c>
      <c r="C16" s="1562"/>
      <c r="D16" s="1563"/>
      <c r="E16" s="601"/>
      <c r="F16" s="622"/>
      <c r="G16" s="601"/>
      <c r="H16" s="601"/>
      <c r="I16" s="960"/>
      <c r="J16" s="601"/>
      <c r="K16" s="601"/>
      <c r="L16" s="624"/>
      <c r="O16" s="322"/>
      <c r="P16" s="322"/>
      <c r="Q16" s="322"/>
      <c r="R16" s="322"/>
      <c r="S16" s="322"/>
      <c r="T16" s="322"/>
      <c r="U16" s="322"/>
    </row>
    <row r="17" spans="1:21" ht="21" customHeight="1">
      <c r="A17" s="1576"/>
      <c r="B17" s="87" t="s">
        <v>502</v>
      </c>
      <c r="C17" s="1562"/>
      <c r="D17" s="1563"/>
      <c r="E17" s="601"/>
      <c r="F17" s="622"/>
      <c r="G17" s="601"/>
      <c r="H17" s="601"/>
      <c r="I17" s="960"/>
      <c r="J17" s="601"/>
      <c r="K17" s="601"/>
      <c r="L17" s="624"/>
      <c r="O17" s="322"/>
      <c r="P17" s="322"/>
      <c r="Q17" s="322"/>
      <c r="R17" s="322"/>
      <c r="S17" s="322"/>
      <c r="T17" s="322"/>
      <c r="U17" s="322"/>
    </row>
    <row r="18" spans="1:21" ht="21" customHeight="1">
      <c r="A18" s="138"/>
      <c r="B18" s="87" t="s">
        <v>503</v>
      </c>
      <c r="C18" s="1562"/>
      <c r="D18" s="1563"/>
      <c r="E18" s="601"/>
      <c r="F18" s="622"/>
      <c r="G18" s="601"/>
      <c r="H18" s="601"/>
      <c r="I18" s="960"/>
      <c r="J18" s="601"/>
      <c r="K18" s="601"/>
      <c r="L18" s="624"/>
      <c r="O18" s="322"/>
      <c r="P18" s="322"/>
      <c r="Q18" s="322"/>
      <c r="R18" s="322"/>
      <c r="S18" s="322"/>
      <c r="T18" s="322"/>
      <c r="U18" s="322"/>
    </row>
    <row r="19" spans="1:21" ht="21" customHeight="1">
      <c r="B19" s="87" t="s">
        <v>288</v>
      </c>
      <c r="C19" s="1562"/>
      <c r="D19" s="1563"/>
      <c r="E19" s="601"/>
      <c r="F19" s="622"/>
      <c r="G19" s="601"/>
      <c r="H19" s="601"/>
      <c r="I19" s="960"/>
      <c r="J19" s="601"/>
      <c r="K19" s="601"/>
      <c r="L19" s="624"/>
      <c r="O19" s="322"/>
      <c r="P19" s="322"/>
      <c r="Q19" s="322"/>
      <c r="R19" s="322"/>
      <c r="S19" s="322"/>
      <c r="T19" s="322"/>
      <c r="U19" s="322"/>
    </row>
    <row r="20" spans="1:21" ht="21" customHeight="1">
      <c r="B20" s="87" t="s">
        <v>290</v>
      </c>
      <c r="C20" s="1562"/>
      <c r="D20" s="1563"/>
      <c r="E20" s="601"/>
      <c r="F20" s="622"/>
      <c r="G20" s="601"/>
      <c r="H20" s="601"/>
      <c r="I20" s="960"/>
      <c r="J20" s="601"/>
      <c r="K20" s="601"/>
      <c r="L20" s="624"/>
      <c r="O20" s="322"/>
      <c r="P20" s="322"/>
      <c r="Q20" s="322"/>
      <c r="R20" s="322"/>
      <c r="S20" s="322"/>
      <c r="T20" s="322"/>
      <c r="U20" s="322"/>
    </row>
    <row r="21" spans="1:21" ht="21" customHeight="1">
      <c r="B21" s="87" t="s">
        <v>292</v>
      </c>
      <c r="C21" s="1562"/>
      <c r="D21" s="1563"/>
      <c r="E21" s="601"/>
      <c r="F21" s="622"/>
      <c r="G21" s="601"/>
      <c r="H21" s="601"/>
      <c r="I21" s="960"/>
      <c r="J21" s="601"/>
      <c r="K21" s="601"/>
      <c r="L21" s="624"/>
      <c r="O21" s="322"/>
      <c r="P21" s="322"/>
      <c r="Q21" s="322"/>
      <c r="R21" s="322"/>
      <c r="S21" s="322"/>
      <c r="T21" s="322"/>
      <c r="U21" s="322"/>
    </row>
    <row r="22" spans="1:21" ht="21" customHeight="1" thickBot="1">
      <c r="B22" s="87" t="s">
        <v>720</v>
      </c>
      <c r="C22" s="1562"/>
      <c r="D22" s="1563"/>
      <c r="E22" s="627"/>
      <c r="F22" s="617"/>
      <c r="G22" s="627"/>
      <c r="H22" s="627"/>
      <c r="I22" s="962"/>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694</v>
      </c>
      <c r="C24" s="44"/>
      <c r="D24" s="152"/>
      <c r="E24" s="286"/>
      <c r="F24" s="286"/>
      <c r="G24" s="286"/>
      <c r="H24" s="286"/>
      <c r="I24" s="286"/>
      <c r="J24" s="990" t="s">
        <v>691</v>
      </c>
      <c r="K24" s="990" t="s">
        <v>692</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695</v>
      </c>
      <c r="E26" s="286"/>
      <c r="F26" s="286"/>
      <c r="G26" s="286"/>
      <c r="H26" s="286"/>
      <c r="I26" s="286"/>
      <c r="J26" s="286"/>
      <c r="K26" s="286"/>
      <c r="L26" s="286"/>
    </row>
    <row r="27" spans="1:21" ht="13.5" customHeight="1">
      <c r="B27" s="154"/>
      <c r="C27" s="44" t="s">
        <v>696</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8"/>
  <dimension ref="A1:R27"/>
  <sheetViews>
    <sheetView workbookViewId="0">
      <selection activeCell="B1" sqref="B1"/>
    </sheetView>
  </sheetViews>
  <sheetFormatPr defaultRowHeight="13.2"/>
  <cols>
    <col min="1" max="1" width="5.6640625" customWidth="1"/>
    <col min="2" max="3" width="4.88671875" customWidth="1"/>
    <col min="4" max="4" width="30.6640625" customWidth="1"/>
    <col min="5" max="6" width="15.6640625" customWidth="1"/>
    <col min="7" max="9" width="30.6640625" customWidth="1"/>
  </cols>
  <sheetData>
    <row r="1" spans="1:18">
      <c r="B1" s="322"/>
      <c r="C1" s="322"/>
      <c r="D1" s="322"/>
      <c r="E1" s="322"/>
      <c r="F1" s="322"/>
      <c r="G1" s="322"/>
      <c r="H1" s="322"/>
      <c r="I1" s="322"/>
    </row>
    <row r="2" spans="1:18" ht="20.399999999999999">
      <c r="B2" s="1508" t="s">
        <v>548</v>
      </c>
      <c r="C2" s="1508"/>
      <c r="D2" s="1508"/>
      <c r="E2" s="1508"/>
      <c r="F2" s="1508"/>
      <c r="G2" s="1508"/>
      <c r="H2" s="1508"/>
      <c r="I2" s="1508"/>
    </row>
    <row r="3" spans="1:18" ht="21" thickBot="1">
      <c r="B3" s="1508"/>
      <c r="C3" s="1508"/>
      <c r="D3" s="1508"/>
      <c r="E3" s="1508"/>
      <c r="F3" s="1508"/>
      <c r="G3" s="1508"/>
      <c r="H3" s="1508"/>
      <c r="I3" s="1508"/>
    </row>
    <row r="4" spans="1:18" ht="13.5" customHeight="1" thickTop="1">
      <c r="B4" s="11"/>
      <c r="C4" s="11"/>
      <c r="D4" s="11"/>
      <c r="E4" s="54"/>
      <c r="F4" s="998"/>
      <c r="G4" s="998"/>
      <c r="H4" s="11"/>
      <c r="I4" s="193"/>
    </row>
    <row r="5" spans="1:18" ht="13.5" customHeight="1">
      <c r="B5" s="322"/>
      <c r="C5" s="322"/>
      <c r="D5" s="322"/>
      <c r="E5" s="1007"/>
      <c r="F5" s="1007"/>
      <c r="G5" s="999" t="s">
        <v>533</v>
      </c>
      <c r="H5" s="1721" t="str">
        <f>'34-Assmt Note Debt Service'!J5</f>
        <v>2020 Budget Requirements</v>
      </c>
      <c r="I5" s="1736"/>
    </row>
    <row r="6" spans="1:18" ht="13.5" customHeight="1">
      <c r="B6" s="322"/>
      <c r="C6" s="1545" t="s">
        <v>532</v>
      </c>
      <c r="D6" s="1735"/>
      <c r="E6" s="1007"/>
      <c r="F6" s="1007"/>
      <c r="G6" s="999" t="s">
        <v>549</v>
      </c>
      <c r="H6" s="1723"/>
      <c r="I6" s="1737"/>
    </row>
    <row r="7" spans="1:18" ht="13.5" customHeight="1">
      <c r="B7" s="322"/>
      <c r="C7" s="322"/>
      <c r="D7" s="322"/>
      <c r="E7" s="1007"/>
      <c r="F7" s="996"/>
      <c r="G7" s="306" t="str">
        <f>'KEY INPUTS'!D46</f>
        <v>Dec. 31, 2019</v>
      </c>
      <c r="H7" s="282" t="s">
        <v>142</v>
      </c>
      <c r="I7" s="21" t="s">
        <v>550</v>
      </c>
    </row>
    <row r="8" spans="1:18" ht="13.5" customHeight="1" thickBot="1">
      <c r="B8" s="10"/>
      <c r="C8" s="10"/>
      <c r="D8" s="10"/>
      <c r="E8" s="10"/>
      <c r="F8" s="164"/>
      <c r="G8" s="244"/>
      <c r="H8" s="16"/>
      <c r="I8" s="156"/>
    </row>
    <row r="9" spans="1:18" ht="21" customHeight="1" thickTop="1">
      <c r="B9" s="86" t="s">
        <v>384</v>
      </c>
      <c r="C9" s="1733"/>
      <c r="D9" s="1733"/>
      <c r="E9" s="1733"/>
      <c r="F9" s="1734"/>
      <c r="G9" s="629"/>
      <c r="H9" s="618"/>
      <c r="I9" s="630"/>
      <c r="L9" s="322"/>
      <c r="M9" s="322"/>
      <c r="N9" s="322"/>
      <c r="O9" s="322"/>
      <c r="P9" s="322"/>
      <c r="Q9" s="322"/>
      <c r="R9" s="322"/>
    </row>
    <row r="10" spans="1:18" ht="21" customHeight="1">
      <c r="B10" s="87" t="s">
        <v>385</v>
      </c>
      <c r="C10" s="1562"/>
      <c r="D10" s="1562"/>
      <c r="E10" s="1562"/>
      <c r="F10" s="1563"/>
      <c r="G10" s="631"/>
      <c r="H10" s="601"/>
      <c r="I10" s="602"/>
      <c r="L10" s="322"/>
      <c r="M10" s="322"/>
      <c r="N10" s="322"/>
      <c r="O10" s="322"/>
      <c r="P10" s="322"/>
      <c r="Q10" s="322"/>
      <c r="R10" s="322"/>
    </row>
    <row r="11" spans="1:18" ht="21" customHeight="1">
      <c r="B11" s="87" t="s">
        <v>386</v>
      </c>
      <c r="C11" s="1562"/>
      <c r="D11" s="1562"/>
      <c r="E11" s="1562"/>
      <c r="F11" s="1563"/>
      <c r="G11" s="631"/>
      <c r="H11" s="601"/>
      <c r="I11" s="602"/>
      <c r="L11" s="377"/>
      <c r="M11" s="322"/>
      <c r="N11" s="322"/>
      <c r="O11" s="322"/>
      <c r="P11" s="322"/>
      <c r="Q11" s="322"/>
      <c r="R11" s="322"/>
    </row>
    <row r="12" spans="1:18" ht="21" customHeight="1">
      <c r="B12" s="87" t="s">
        <v>387</v>
      </c>
      <c r="C12" s="1562"/>
      <c r="D12" s="1562"/>
      <c r="E12" s="1562"/>
      <c r="F12" s="1563"/>
      <c r="G12" s="631"/>
      <c r="H12" s="601"/>
      <c r="I12" s="602"/>
      <c r="L12" s="322"/>
      <c r="M12" s="322"/>
      <c r="N12" s="322"/>
      <c r="O12" s="322"/>
      <c r="P12" s="322"/>
      <c r="Q12" s="322"/>
      <c r="R12" s="322"/>
    </row>
    <row r="13" spans="1:18" ht="21" customHeight="1">
      <c r="B13" s="87" t="s">
        <v>388</v>
      </c>
      <c r="C13" s="1562"/>
      <c r="D13" s="1562"/>
      <c r="E13" s="1562"/>
      <c r="F13" s="1563"/>
      <c r="G13" s="631"/>
      <c r="H13" s="601"/>
      <c r="I13" s="602"/>
      <c r="L13" s="322"/>
      <c r="M13" s="322"/>
      <c r="N13" s="322"/>
      <c r="O13" s="322"/>
      <c r="P13" s="322"/>
      <c r="Q13" s="322"/>
      <c r="R13" s="322"/>
    </row>
    <row r="14" spans="1:18" ht="21" customHeight="1">
      <c r="B14" s="87" t="s">
        <v>389</v>
      </c>
      <c r="C14" s="1562"/>
      <c r="D14" s="1562"/>
      <c r="E14" s="1562"/>
      <c r="F14" s="1563"/>
      <c r="G14" s="632"/>
      <c r="H14" s="601"/>
      <c r="I14" s="602"/>
      <c r="L14" s="322"/>
      <c r="M14" s="322"/>
      <c r="N14" s="322"/>
      <c r="O14" s="322"/>
      <c r="P14" s="322"/>
      <c r="Q14" s="322"/>
      <c r="R14" s="322"/>
    </row>
    <row r="15" spans="1:18" ht="21" customHeight="1">
      <c r="A15" s="1576" t="s">
        <v>807</v>
      </c>
      <c r="B15" s="87" t="s">
        <v>390</v>
      </c>
      <c r="C15" s="1562"/>
      <c r="D15" s="1562"/>
      <c r="E15" s="1562"/>
      <c r="F15" s="1563"/>
      <c r="G15" s="631"/>
      <c r="H15" s="601"/>
      <c r="I15" s="602"/>
      <c r="L15" s="322"/>
      <c r="M15" s="322"/>
      <c r="N15" s="322"/>
      <c r="O15" s="322"/>
      <c r="P15" s="322"/>
      <c r="Q15" s="322"/>
      <c r="R15" s="322"/>
    </row>
    <row r="16" spans="1:18" ht="21" customHeight="1">
      <c r="A16" s="1576"/>
      <c r="B16" s="87" t="s">
        <v>501</v>
      </c>
      <c r="C16" s="1562"/>
      <c r="D16" s="1562"/>
      <c r="E16" s="1562"/>
      <c r="F16" s="1563"/>
      <c r="G16" s="631"/>
      <c r="H16" s="601"/>
      <c r="I16" s="602"/>
      <c r="L16" s="322"/>
      <c r="M16" s="322"/>
      <c r="N16" s="322"/>
      <c r="O16" s="322"/>
      <c r="P16" s="322"/>
      <c r="Q16" s="322"/>
      <c r="R16" s="322"/>
    </row>
    <row r="17" spans="1:18" ht="21" customHeight="1">
      <c r="A17" s="1576"/>
      <c r="B17" s="87" t="s">
        <v>502</v>
      </c>
      <c r="C17" s="1562"/>
      <c r="D17" s="1562"/>
      <c r="E17" s="1562"/>
      <c r="F17" s="1563"/>
      <c r="G17" s="631"/>
      <c r="H17" s="601"/>
      <c r="I17" s="602"/>
      <c r="L17" s="322"/>
      <c r="M17" s="322"/>
      <c r="N17" s="322"/>
      <c r="O17" s="322"/>
      <c r="P17" s="322"/>
      <c r="Q17" s="322"/>
      <c r="R17" s="322"/>
    </row>
    <row r="18" spans="1:18" ht="21" customHeight="1">
      <c r="A18" s="138"/>
      <c r="B18" s="87" t="s">
        <v>503</v>
      </c>
      <c r="C18" s="1562"/>
      <c r="D18" s="1562"/>
      <c r="E18" s="1562"/>
      <c r="F18" s="1563"/>
      <c r="G18" s="631"/>
      <c r="H18" s="601"/>
      <c r="I18" s="602"/>
      <c r="L18" s="322"/>
      <c r="M18" s="322"/>
      <c r="N18" s="322"/>
      <c r="O18" s="322"/>
      <c r="P18" s="322"/>
      <c r="Q18" s="322"/>
      <c r="R18" s="322"/>
    </row>
    <row r="19" spans="1:18" ht="21" customHeight="1">
      <c r="B19" s="87" t="s">
        <v>288</v>
      </c>
      <c r="C19" s="1562"/>
      <c r="D19" s="1562"/>
      <c r="E19" s="1562"/>
      <c r="F19" s="1563"/>
      <c r="G19" s="631"/>
      <c r="H19" s="601"/>
      <c r="I19" s="602"/>
      <c r="L19" s="322"/>
      <c r="M19" s="322"/>
      <c r="N19" s="322"/>
      <c r="O19" s="322"/>
      <c r="P19" s="322"/>
      <c r="Q19" s="322"/>
      <c r="R19" s="322"/>
    </row>
    <row r="20" spans="1:18" ht="21" customHeight="1">
      <c r="B20" s="87" t="s">
        <v>290</v>
      </c>
      <c r="C20" s="1562"/>
      <c r="D20" s="1562"/>
      <c r="E20" s="1562"/>
      <c r="F20" s="1563"/>
      <c r="G20" s="631"/>
      <c r="H20" s="601"/>
      <c r="I20" s="602"/>
      <c r="L20" s="322"/>
      <c r="M20" s="322"/>
      <c r="N20" s="322"/>
      <c r="O20" s="322"/>
      <c r="P20" s="322"/>
      <c r="Q20" s="322"/>
      <c r="R20" s="322"/>
    </row>
    <row r="21" spans="1:18" ht="21" customHeight="1">
      <c r="B21" s="87" t="s">
        <v>292</v>
      </c>
      <c r="C21" s="1562"/>
      <c r="D21" s="1562"/>
      <c r="E21" s="1562"/>
      <c r="F21" s="1563"/>
      <c r="G21" s="631"/>
      <c r="H21" s="601"/>
      <c r="I21" s="602"/>
      <c r="L21" s="322"/>
      <c r="M21" s="322"/>
      <c r="N21" s="322"/>
      <c r="O21" s="322"/>
      <c r="P21" s="322"/>
      <c r="Q21" s="322"/>
      <c r="R21" s="322"/>
    </row>
    <row r="22" spans="1:18" ht="21" customHeight="1" thickBot="1">
      <c r="B22" s="87" t="s">
        <v>720</v>
      </c>
      <c r="C22" s="1562"/>
      <c r="D22" s="1562"/>
      <c r="E22" s="1562"/>
      <c r="F22" s="1563"/>
      <c r="G22" s="633"/>
      <c r="H22" s="627"/>
      <c r="I22" s="634"/>
      <c r="L22" s="322"/>
      <c r="M22" s="322"/>
      <c r="N22" s="322"/>
      <c r="O22" s="322"/>
      <c r="P22" s="322"/>
      <c r="Q22" s="322"/>
      <c r="R22" s="322"/>
    </row>
    <row r="23" spans="1:18" ht="21" customHeight="1" thickTop="1" thickBot="1">
      <c r="B23" s="148"/>
      <c r="C23" s="27"/>
      <c r="D23" s="139" t="s">
        <v>174</v>
      </c>
      <c r="E23" s="123"/>
      <c r="F23" s="164"/>
      <c r="G23" s="245">
        <f>SUM(G9:G22)</f>
        <v>0</v>
      </c>
      <c r="H23" s="137">
        <f>SUM(H9:H22)</f>
        <v>0</v>
      </c>
      <c r="I23" s="157">
        <f>SUM(I9:I22)</f>
        <v>0</v>
      </c>
      <c r="L23" s="322"/>
      <c r="M23" s="322"/>
      <c r="N23" s="322"/>
      <c r="O23" s="322"/>
      <c r="P23" s="322"/>
      <c r="Q23" s="322"/>
      <c r="R23" s="322"/>
    </row>
    <row r="24" spans="1:18" ht="13.5" customHeight="1" thickTop="1">
      <c r="B24" s="154"/>
      <c r="C24" s="44"/>
      <c r="D24" s="152"/>
      <c r="E24" s="286"/>
      <c r="F24" s="286"/>
      <c r="G24" s="286"/>
      <c r="H24" s="990" t="s">
        <v>691</v>
      </c>
      <c r="I24" s="990" t="s">
        <v>692</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3:Q48"/>
  <sheetViews>
    <sheetView topLeftCell="A22" zoomScaleNormal="100" workbookViewId="0">
      <selection activeCell="G11" sqref="G11"/>
    </sheetView>
  </sheetViews>
  <sheetFormatPr defaultRowHeight="13.2"/>
  <cols>
    <col min="1" max="1" width="4.6640625" customWidth="1"/>
    <col min="2" max="2" width="4.88671875" customWidth="1"/>
    <col min="3" max="4" width="4.6640625" customWidth="1"/>
    <col min="5" max="5" width="30.88671875" customWidth="1"/>
    <col min="6" max="6" width="15.6640625" customWidth="1"/>
    <col min="7" max="8" width="16.6640625" customWidth="1"/>
    <col min="9" max="9" width="12.109375" bestFit="1" customWidth="1"/>
  </cols>
  <sheetData>
    <row r="3" spans="2:17" ht="22.8">
      <c r="B3" s="1548" t="s">
        <v>134</v>
      </c>
      <c r="C3" s="1548"/>
      <c r="D3" s="1548"/>
      <c r="E3" s="1548"/>
      <c r="F3" s="1548"/>
      <c r="G3" s="1548"/>
      <c r="H3" s="1548"/>
    </row>
    <row r="4" spans="2:17" ht="22.8">
      <c r="B4" s="1548" t="s">
        <v>135</v>
      </c>
      <c r="C4" s="1548"/>
      <c r="D4" s="1548"/>
      <c r="E4" s="1548"/>
      <c r="F4" s="1548"/>
      <c r="G4" s="1548"/>
      <c r="H4" s="1548"/>
    </row>
    <row r="5" spans="2:17" ht="12.75" customHeight="1">
      <c r="B5" s="2"/>
      <c r="C5" s="2"/>
      <c r="D5" s="2"/>
      <c r="E5" s="2"/>
      <c r="F5" s="2"/>
      <c r="G5" s="2"/>
      <c r="H5" s="2"/>
    </row>
    <row r="6" spans="2:17" ht="15.6">
      <c r="B6" s="1555" t="str">
        <f>'KEY INPUTS'!D44</f>
        <v>AS  AT  DECEMBER  31, 2019</v>
      </c>
      <c r="C6" s="1509"/>
      <c r="D6" s="1509"/>
      <c r="E6" s="1509"/>
      <c r="F6" s="1509"/>
      <c r="G6" s="1509"/>
      <c r="H6" s="1509"/>
    </row>
    <row r="7" spans="2:17" ht="13.8" thickBot="1"/>
    <row r="8" spans="2:17" ht="36" customHeight="1" thickTop="1" thickBot="1">
      <c r="B8" s="1552" t="s">
        <v>124</v>
      </c>
      <c r="C8" s="1552"/>
      <c r="D8" s="1552"/>
      <c r="E8" s="1552"/>
      <c r="F8" s="1553"/>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459</v>
      </c>
      <c r="D10" s="323"/>
      <c r="E10" s="323"/>
      <c r="F10" s="323"/>
      <c r="G10" s="68">
        <f>+'9-Cash Reconciliation'!I7</f>
        <v>908884.03</v>
      </c>
      <c r="H10" s="69"/>
    </row>
    <row r="11" spans="2:17" ht="21" customHeight="1">
      <c r="B11" s="5"/>
      <c r="C11" s="5" t="s">
        <v>710</v>
      </c>
      <c r="D11" s="5"/>
      <c r="E11" s="5"/>
      <c r="F11" s="5"/>
      <c r="G11" s="68">
        <f>'10 Totals Grants Receivable'!K27</f>
        <v>251511.78</v>
      </c>
      <c r="H11" s="578"/>
      <c r="I11" s="228"/>
      <c r="J11" s="377"/>
      <c r="K11" s="322"/>
      <c r="L11" s="322"/>
      <c r="M11" s="322"/>
      <c r="N11" s="322"/>
      <c r="O11" s="322"/>
      <c r="P11" s="322"/>
      <c r="Q11" s="322"/>
    </row>
    <row r="12" spans="2:17" ht="21" customHeight="1">
      <c r="B12" s="5"/>
      <c r="C12" s="566" t="s">
        <v>3931</v>
      </c>
      <c r="D12" s="566"/>
      <c r="E12" s="566"/>
      <c r="F12" s="566"/>
      <c r="G12" s="374">
        <v>25004.22</v>
      </c>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c r="D19" s="566"/>
      <c r="E19" s="566"/>
      <c r="F19" s="566"/>
      <c r="G19" s="374"/>
      <c r="H19" s="578"/>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c r="H21" s="578"/>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997</v>
      </c>
      <c r="D24" s="566"/>
      <c r="E24" s="566"/>
      <c r="F24" s="566"/>
      <c r="G24" s="374"/>
      <c r="H24" s="578">
        <v>609290.13</v>
      </c>
      <c r="I24" s="312"/>
      <c r="J24" s="322"/>
      <c r="K24" s="322"/>
      <c r="L24" s="322"/>
      <c r="M24" s="322"/>
      <c r="N24" s="322"/>
      <c r="O24" s="322"/>
      <c r="P24" s="322"/>
      <c r="Q24" s="322"/>
    </row>
    <row r="25" spans="2:17" s="322" customFormat="1" ht="21" customHeight="1">
      <c r="B25" s="323"/>
      <c r="C25" s="566"/>
      <c r="D25" s="566"/>
      <c r="E25" s="566"/>
      <c r="F25" s="566"/>
      <c r="G25" s="374"/>
      <c r="H25" s="578"/>
      <c r="I25" s="325"/>
    </row>
    <row r="26" spans="2:17" s="322" customFormat="1" ht="21" customHeight="1">
      <c r="B26" s="323"/>
      <c r="C26" s="566"/>
      <c r="D26" s="566"/>
      <c r="E26" s="566"/>
      <c r="F26" s="566"/>
      <c r="G26" s="374"/>
      <c r="H26" s="578"/>
      <c r="I26" s="325"/>
    </row>
    <row r="27" spans="2:17" s="322" customFormat="1" ht="21" customHeight="1">
      <c r="B27" s="323"/>
      <c r="C27" s="566"/>
      <c r="D27" s="566"/>
      <c r="E27" s="566"/>
      <c r="F27" s="566"/>
      <c r="G27" s="374"/>
      <c r="H27" s="578"/>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4">
        <f>+'11- Totals Grants Approp Rsrv'!L27</f>
        <v>576109.89999999991</v>
      </c>
      <c r="I33" s="715"/>
      <c r="J33" s="322"/>
      <c r="K33" s="322"/>
      <c r="L33" s="322"/>
      <c r="M33" s="322"/>
      <c r="N33" s="322"/>
      <c r="O33" s="322"/>
      <c r="P33" s="322"/>
      <c r="Q33" s="322"/>
    </row>
    <row r="34" spans="2:17" ht="21" customHeight="1">
      <c r="B34" s="5"/>
      <c r="C34" s="5" t="s">
        <v>711</v>
      </c>
      <c r="D34" s="5"/>
      <c r="E34" s="5"/>
      <c r="F34" s="5"/>
      <c r="G34" s="374"/>
      <c r="H34" s="664">
        <f>+'12 Total-Grants Unappropriated'!K27</f>
        <v>0</v>
      </c>
      <c r="I34" s="713"/>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1001</v>
      </c>
      <c r="E36" s="5"/>
      <c r="F36" s="5"/>
      <c r="G36" s="240">
        <f>SUM(G9:G35)</f>
        <v>1185400.03</v>
      </c>
      <c r="H36" s="241">
        <f>SUM(H9:H35)</f>
        <v>1185400.0299999998</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511" t="s">
        <v>127</v>
      </c>
      <c r="C45" s="1511"/>
      <c r="D45" s="1511"/>
      <c r="E45" s="1511"/>
      <c r="F45" s="1511"/>
      <c r="G45" s="1511"/>
      <c r="H45" s="1511"/>
    </row>
    <row r="46" spans="2:17">
      <c r="B46" s="1"/>
      <c r="C46" s="1"/>
      <c r="D46" s="1"/>
      <c r="E46" s="1"/>
      <c r="F46" s="1"/>
      <c r="G46" s="1"/>
      <c r="H46" s="1"/>
    </row>
    <row r="48" spans="2:17" ht="13.8">
      <c r="B48" s="1507" t="s">
        <v>603</v>
      </c>
      <c r="C48" s="1507"/>
      <c r="D48" s="1507"/>
      <c r="E48" s="1507"/>
      <c r="F48" s="1507"/>
      <c r="G48" s="1507"/>
      <c r="H48" s="1507"/>
    </row>
  </sheetData>
  <sheetProtection password="CAF9"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U33"/>
  <sheetViews>
    <sheetView topLeftCell="A4" zoomScaleNormal="100" workbookViewId="0">
      <selection activeCell="E26" sqref="E26"/>
    </sheetView>
  </sheetViews>
  <sheetFormatPr defaultRowHeight="13.2"/>
  <cols>
    <col min="1" max="1" width="5.6640625" customWidth="1"/>
    <col min="2" max="2" width="5.109375" customWidth="1"/>
    <col min="3" max="3" width="4.88671875" customWidth="1"/>
    <col min="4" max="4" width="30.6640625" customWidth="1"/>
    <col min="5" max="12" width="15.6640625" customWidth="1"/>
  </cols>
  <sheetData>
    <row r="1" spans="2:21" ht="8.25" customHeight="1"/>
    <row r="2" spans="2:21" ht="20.399999999999999">
      <c r="B2" s="1508" t="s">
        <v>655</v>
      </c>
      <c r="C2" s="1508"/>
      <c r="D2" s="1508"/>
      <c r="E2" s="1508"/>
      <c r="F2" s="1508"/>
      <c r="G2" s="1508"/>
      <c r="H2" s="1508"/>
      <c r="I2" s="1508"/>
      <c r="J2" s="1508"/>
      <c r="K2" s="1508"/>
      <c r="L2" s="1508"/>
    </row>
    <row r="3" spans="2:21" ht="9.75" customHeight="1" thickBot="1">
      <c r="B3" s="1508"/>
      <c r="C3" s="1508"/>
      <c r="D3" s="1508"/>
      <c r="E3" s="1508"/>
      <c r="F3" s="1508"/>
      <c r="G3" s="1508"/>
      <c r="H3" s="1508"/>
      <c r="I3" s="1508"/>
      <c r="J3" s="1508"/>
      <c r="K3" s="1508"/>
      <c r="L3" s="1508"/>
    </row>
    <row r="4" spans="2:21" ht="13.5" customHeight="1" thickTop="1">
      <c r="B4" s="11"/>
      <c r="C4" s="11"/>
      <c r="D4" s="11"/>
      <c r="E4" s="1738" t="str">
        <f>'KEY INPUTS'!D25</f>
        <v>Balance - January 1, 2019</v>
      </c>
      <c r="F4" s="1620"/>
      <c r="G4" s="12"/>
      <c r="H4" s="12"/>
      <c r="I4" s="12"/>
      <c r="J4" s="12"/>
      <c r="K4" s="1738" t="str">
        <f>'KEY INPUTS'!D26</f>
        <v>Balance - December 31, 2019</v>
      </c>
      <c r="L4" s="1743"/>
    </row>
    <row r="5" spans="2:21" ht="13.5" customHeight="1">
      <c r="B5" s="1545" t="s">
        <v>656</v>
      </c>
      <c r="C5" s="1545"/>
      <c r="D5" s="1594"/>
      <c r="E5" s="1739"/>
      <c r="F5" s="1740"/>
      <c r="G5" s="20"/>
      <c r="H5" s="20"/>
      <c r="I5" s="20"/>
      <c r="J5" s="20"/>
      <c r="K5" s="1739"/>
      <c r="L5" s="1744"/>
    </row>
    <row r="6" spans="2:21" ht="13.5" customHeight="1">
      <c r="B6" s="1545" t="s">
        <v>657</v>
      </c>
      <c r="C6" s="1545"/>
      <c r="D6" s="1594"/>
      <c r="E6" s="1741"/>
      <c r="F6" s="1742"/>
      <c r="G6" s="20">
        <f>'KEY INPUTS'!D34</f>
        <v>2019</v>
      </c>
      <c r="H6" s="923" t="s">
        <v>280</v>
      </c>
      <c r="I6" s="20" t="s">
        <v>302</v>
      </c>
      <c r="J6" s="20" t="s">
        <v>661</v>
      </c>
      <c r="K6" s="1741"/>
      <c r="L6" s="1745"/>
    </row>
    <row r="7" spans="2:21" ht="13.5" customHeight="1">
      <c r="B7" s="1545" t="s">
        <v>658</v>
      </c>
      <c r="C7" s="1545"/>
      <c r="D7" s="1594"/>
      <c r="E7" s="13" t="s">
        <v>659</v>
      </c>
      <c r="F7" s="13" t="s">
        <v>660</v>
      </c>
      <c r="G7" s="13" t="s">
        <v>661</v>
      </c>
      <c r="H7" s="13"/>
      <c r="I7" s="13"/>
      <c r="J7" s="13" t="s">
        <v>558</v>
      </c>
      <c r="K7" s="13" t="s">
        <v>659</v>
      </c>
      <c r="L7" s="21" t="s">
        <v>660</v>
      </c>
    </row>
    <row r="8" spans="2:21" ht="13.5" customHeight="1" thickBot="1">
      <c r="B8" s="10"/>
      <c r="C8" s="10"/>
      <c r="D8" s="10"/>
      <c r="E8" s="14"/>
      <c r="F8" s="14"/>
      <c r="G8" s="16"/>
      <c r="H8" s="16"/>
      <c r="I8" s="14"/>
      <c r="J8" s="14"/>
      <c r="K8" s="16"/>
      <c r="L8" s="156"/>
    </row>
    <row r="9" spans="2:21" ht="21" customHeight="1" thickTop="1">
      <c r="B9" s="1497" t="s">
        <v>3833</v>
      </c>
      <c r="C9" s="1496" t="s">
        <v>3821</v>
      </c>
      <c r="D9" s="1496"/>
      <c r="E9" s="635">
        <v>0.21</v>
      </c>
      <c r="F9" s="635">
        <v>310599</v>
      </c>
      <c r="G9" s="635"/>
      <c r="H9" s="635"/>
      <c r="I9" s="635">
        <v>0</v>
      </c>
      <c r="J9" s="635"/>
      <c r="K9" s="372">
        <f>+E9+F9+G9-I9-J9-L9</f>
        <v>0.21000000002095476</v>
      </c>
      <c r="L9" s="1014">
        <v>310599</v>
      </c>
    </row>
    <row r="10" spans="2:21" ht="21" customHeight="1">
      <c r="B10" s="1497" t="s">
        <v>3834</v>
      </c>
      <c r="C10" s="1496" t="s">
        <v>3822</v>
      </c>
      <c r="D10" s="1496"/>
      <c r="E10" s="372">
        <v>107576.73</v>
      </c>
      <c r="F10" s="372"/>
      <c r="G10" s="372"/>
      <c r="H10" s="372"/>
      <c r="I10" s="372">
        <v>79166.489999999991</v>
      </c>
      <c r="J10" s="372"/>
      <c r="K10" s="372">
        <f t="shared" ref="K10:K26" si="0">+E10+F10+G10-I10-J10-L10</f>
        <v>28410.240000000005</v>
      </c>
      <c r="L10" s="951"/>
      <c r="M10" s="228"/>
      <c r="O10" s="322"/>
      <c r="P10" s="322"/>
      <c r="Q10" s="322"/>
      <c r="R10" s="322"/>
      <c r="S10" s="322"/>
      <c r="T10" s="322"/>
      <c r="U10" s="322"/>
    </row>
    <row r="11" spans="2:21" ht="21" customHeight="1">
      <c r="B11" s="1497" t="s">
        <v>3835</v>
      </c>
      <c r="C11" s="1496" t="s">
        <v>3823</v>
      </c>
      <c r="D11" s="1496"/>
      <c r="E11" s="372">
        <v>190998.64</v>
      </c>
      <c r="F11" s="372"/>
      <c r="G11" s="372"/>
      <c r="H11" s="372"/>
      <c r="I11" s="372">
        <v>154288.91999999998</v>
      </c>
      <c r="J11" s="372"/>
      <c r="K11" s="372">
        <f t="shared" si="0"/>
        <v>36709.72000000003</v>
      </c>
      <c r="L11" s="951"/>
      <c r="O11" s="322"/>
      <c r="P11" s="322"/>
      <c r="Q11" s="322"/>
      <c r="R11" s="322"/>
      <c r="S11" s="322"/>
      <c r="T11" s="322"/>
      <c r="U11" s="322"/>
    </row>
    <row r="12" spans="2:21" ht="21" customHeight="1">
      <c r="B12" s="1497" t="s">
        <v>3836</v>
      </c>
      <c r="C12" s="1496" t="s">
        <v>3824</v>
      </c>
      <c r="D12" s="1496"/>
      <c r="E12" s="636"/>
      <c r="F12" s="636"/>
      <c r="G12" s="372"/>
      <c r="H12" s="372"/>
      <c r="I12" s="372">
        <v>-24282</v>
      </c>
      <c r="J12" s="372">
        <v>24282</v>
      </c>
      <c r="K12" s="372">
        <f t="shared" si="0"/>
        <v>0</v>
      </c>
      <c r="L12" s="951"/>
      <c r="M12" s="228"/>
      <c r="O12" s="377"/>
      <c r="P12" s="322"/>
      <c r="Q12" s="322"/>
      <c r="R12" s="322"/>
      <c r="S12" s="322"/>
      <c r="T12" s="322"/>
      <c r="U12" s="322"/>
    </row>
    <row r="13" spans="2:21" ht="21" customHeight="1">
      <c r="B13" s="1497" t="s">
        <v>3837</v>
      </c>
      <c r="C13" s="1496" t="s">
        <v>3825</v>
      </c>
      <c r="D13" s="1496"/>
      <c r="E13" s="372"/>
      <c r="F13" s="372">
        <v>738879.57</v>
      </c>
      <c r="G13" s="372"/>
      <c r="H13" s="372"/>
      <c r="I13" s="372">
        <v>-46533.509999999995</v>
      </c>
      <c r="J13" s="372"/>
      <c r="K13" s="372">
        <f t="shared" si="0"/>
        <v>0</v>
      </c>
      <c r="L13" s="951">
        <f>++F13-I13</f>
        <v>785413.08</v>
      </c>
      <c r="O13" s="322"/>
      <c r="P13" s="322"/>
      <c r="Q13" s="322"/>
      <c r="R13" s="322"/>
      <c r="S13" s="322"/>
      <c r="T13" s="322"/>
      <c r="U13" s="322"/>
    </row>
    <row r="14" spans="2:21" ht="21" customHeight="1">
      <c r="B14" s="1497" t="s">
        <v>3838</v>
      </c>
      <c r="C14" s="1496" t="s">
        <v>3826</v>
      </c>
      <c r="D14" s="1496"/>
      <c r="E14" s="372">
        <v>23288.400000000001</v>
      </c>
      <c r="F14" s="372"/>
      <c r="G14" s="636"/>
      <c r="H14" s="636"/>
      <c r="I14" s="636">
        <v>20436.13</v>
      </c>
      <c r="J14" s="636">
        <v>2852.27</v>
      </c>
      <c r="K14" s="372">
        <f t="shared" si="0"/>
        <v>4.5474735088646412E-13</v>
      </c>
      <c r="L14" s="951"/>
      <c r="M14" s="228"/>
      <c r="O14" s="322"/>
      <c r="P14" s="322"/>
      <c r="Q14" s="322"/>
      <c r="R14" s="322"/>
      <c r="S14" s="322"/>
      <c r="T14" s="322"/>
      <c r="U14" s="322"/>
    </row>
    <row r="15" spans="2:21" ht="21" customHeight="1">
      <c r="B15" s="1497" t="s">
        <v>3839</v>
      </c>
      <c r="C15" s="1496" t="s">
        <v>3823</v>
      </c>
      <c r="D15" s="1496"/>
      <c r="E15" s="372">
        <v>13127.24</v>
      </c>
      <c r="F15" s="372"/>
      <c r="G15" s="372"/>
      <c r="H15" s="372"/>
      <c r="I15" s="372">
        <v>8811.26</v>
      </c>
      <c r="J15" s="372">
        <v>4315.9799999999996</v>
      </c>
      <c r="K15" s="372">
        <f t="shared" si="0"/>
        <v>0</v>
      </c>
      <c r="L15" s="951"/>
      <c r="O15" s="322"/>
      <c r="P15" s="322"/>
      <c r="Q15" s="322"/>
      <c r="R15" s="322"/>
      <c r="S15" s="322"/>
      <c r="T15" s="322"/>
      <c r="U15" s="322"/>
    </row>
    <row r="16" spans="2:21" ht="21" customHeight="1">
      <c r="B16" s="1497" t="s">
        <v>3840</v>
      </c>
      <c r="C16" s="1496" t="s">
        <v>3827</v>
      </c>
      <c r="D16" s="1496"/>
      <c r="E16" s="372">
        <v>90760.639999999999</v>
      </c>
      <c r="F16" s="372"/>
      <c r="G16" s="372"/>
      <c r="H16" s="372"/>
      <c r="I16" s="372">
        <v>0</v>
      </c>
      <c r="J16" s="372">
        <v>18846.16</v>
      </c>
      <c r="K16" s="372">
        <f t="shared" si="0"/>
        <v>71914.48</v>
      </c>
      <c r="L16" s="951"/>
      <c r="M16" s="228"/>
      <c r="O16" s="322"/>
      <c r="P16" s="322"/>
      <c r="Q16" s="322"/>
      <c r="R16" s="322"/>
      <c r="S16" s="322"/>
      <c r="T16" s="322"/>
      <c r="U16" s="322"/>
    </row>
    <row r="17" spans="1:21" ht="21" customHeight="1">
      <c r="A17" s="1576" t="s">
        <v>664</v>
      </c>
      <c r="B17" s="1497" t="s">
        <v>3841</v>
      </c>
      <c r="C17" s="1496" t="s">
        <v>3828</v>
      </c>
      <c r="D17" s="1496"/>
      <c r="E17" s="372">
        <v>2445.7600000000002</v>
      </c>
      <c r="F17" s="372"/>
      <c r="G17" s="372"/>
      <c r="H17" s="372"/>
      <c r="I17" s="372">
        <v>0</v>
      </c>
      <c r="J17" s="372">
        <v>2445.7600000000002</v>
      </c>
      <c r="K17" s="372">
        <f t="shared" si="0"/>
        <v>0</v>
      </c>
      <c r="L17" s="951"/>
      <c r="O17" s="322"/>
      <c r="P17" s="322"/>
      <c r="Q17" s="322"/>
      <c r="R17" s="322"/>
      <c r="S17" s="322"/>
      <c r="T17" s="322"/>
      <c r="U17" s="322"/>
    </row>
    <row r="18" spans="1:21" ht="21" customHeight="1">
      <c r="A18" s="1576"/>
      <c r="B18" s="1497" t="s">
        <v>3842</v>
      </c>
      <c r="C18" s="1496" t="s">
        <v>3823</v>
      </c>
      <c r="D18" s="1496"/>
      <c r="E18" s="372">
        <v>256928.11</v>
      </c>
      <c r="F18" s="372"/>
      <c r="G18" s="372"/>
      <c r="H18" s="372"/>
      <c r="I18" s="372">
        <v>127147.06</v>
      </c>
      <c r="J18" s="372"/>
      <c r="K18" s="372">
        <f t="shared" si="0"/>
        <v>129781.04999999999</v>
      </c>
      <c r="L18" s="951"/>
      <c r="M18" s="228"/>
      <c r="O18" s="322"/>
      <c r="P18" s="322"/>
      <c r="Q18" s="322"/>
      <c r="R18" s="322"/>
      <c r="S18" s="322"/>
      <c r="T18" s="322"/>
      <c r="U18" s="322"/>
    </row>
    <row r="19" spans="1:21" ht="21" customHeight="1">
      <c r="A19" s="1576"/>
      <c r="B19" s="1497" t="s">
        <v>3843</v>
      </c>
      <c r="C19" s="1496" t="s">
        <v>3829</v>
      </c>
      <c r="D19" s="1496"/>
      <c r="E19" s="372">
        <v>43623.930000000029</v>
      </c>
      <c r="F19" s="372"/>
      <c r="G19" s="372"/>
      <c r="H19" s="372"/>
      <c r="I19" s="372">
        <v>33146.39</v>
      </c>
      <c r="J19" s="372">
        <v>10477.540000000001</v>
      </c>
      <c r="K19" s="372">
        <f t="shared" si="0"/>
        <v>2.9103830456733704E-11</v>
      </c>
      <c r="L19" s="951"/>
      <c r="O19" s="322"/>
      <c r="P19" s="322"/>
      <c r="Q19" s="322"/>
      <c r="R19" s="322"/>
      <c r="S19" s="322"/>
      <c r="T19" s="322"/>
      <c r="U19" s="322"/>
    </row>
    <row r="20" spans="1:21" ht="21" customHeight="1">
      <c r="A20" s="138"/>
      <c r="B20" s="1497" t="s">
        <v>3844</v>
      </c>
      <c r="C20" s="1496" t="s">
        <v>3827</v>
      </c>
      <c r="D20" s="1496"/>
      <c r="E20" s="372">
        <v>35436.04</v>
      </c>
      <c r="F20" s="372"/>
      <c r="G20" s="372"/>
      <c r="H20" s="372"/>
      <c r="I20" s="372">
        <v>0</v>
      </c>
      <c r="J20" s="372">
        <v>35436.04</v>
      </c>
      <c r="K20" s="372">
        <f t="shared" si="0"/>
        <v>0</v>
      </c>
      <c r="L20" s="951"/>
      <c r="M20" s="228"/>
      <c r="O20" s="322"/>
      <c r="P20" s="322"/>
      <c r="Q20" s="322"/>
      <c r="R20" s="322"/>
      <c r="S20" s="322"/>
      <c r="T20" s="322"/>
      <c r="U20" s="322"/>
    </row>
    <row r="21" spans="1:21" ht="21" customHeight="1">
      <c r="A21" s="138"/>
      <c r="B21" s="1497" t="s">
        <v>3845</v>
      </c>
      <c r="C21" s="1496" t="s">
        <v>3830</v>
      </c>
      <c r="D21" s="1496"/>
      <c r="E21" s="372">
        <v>17422.71</v>
      </c>
      <c r="F21" s="372"/>
      <c r="G21" s="372"/>
      <c r="H21" s="372"/>
      <c r="I21" s="372">
        <v>17422.71</v>
      </c>
      <c r="J21" s="372"/>
      <c r="K21" s="372">
        <f t="shared" si="0"/>
        <v>0</v>
      </c>
      <c r="L21" s="951"/>
      <c r="O21" s="322"/>
      <c r="P21" s="322"/>
      <c r="Q21" s="322"/>
      <c r="R21" s="322"/>
      <c r="S21" s="322"/>
      <c r="T21" s="322"/>
      <c r="U21" s="322"/>
    </row>
    <row r="22" spans="1:21" ht="21" customHeight="1">
      <c r="A22" s="138"/>
      <c r="B22" s="1497" t="s">
        <v>3846</v>
      </c>
      <c r="C22" s="1496" t="s">
        <v>3826</v>
      </c>
      <c r="D22" s="1496"/>
      <c r="E22" s="372">
        <v>35759.79</v>
      </c>
      <c r="F22" s="372"/>
      <c r="G22" s="372"/>
      <c r="H22" s="372"/>
      <c r="I22" s="372">
        <v>25467.15</v>
      </c>
      <c r="J22" s="372">
        <v>10292.64</v>
      </c>
      <c r="K22" s="372">
        <f t="shared" si="0"/>
        <v>0</v>
      </c>
      <c r="L22" s="951"/>
      <c r="M22" s="228"/>
      <c r="O22" s="322"/>
      <c r="P22" s="322"/>
      <c r="Q22" s="322"/>
      <c r="R22" s="322"/>
      <c r="S22" s="322"/>
      <c r="T22" s="322"/>
      <c r="U22" s="322"/>
    </row>
    <row r="23" spans="1:21" ht="21" customHeight="1">
      <c r="B23" s="1497" t="s">
        <v>3847</v>
      </c>
      <c r="C23" s="1496" t="s">
        <v>3823</v>
      </c>
      <c r="D23" s="1496"/>
      <c r="E23" s="372"/>
      <c r="F23" s="372">
        <v>86244.94</v>
      </c>
      <c r="G23" s="372"/>
      <c r="H23" s="372"/>
      <c r="I23" s="372">
        <v>28503.310000000012</v>
      </c>
      <c r="J23" s="372"/>
      <c r="K23" s="372">
        <f t="shared" si="0"/>
        <v>0</v>
      </c>
      <c r="L23" s="951">
        <f>+F23-I23</f>
        <v>57741.62999999999</v>
      </c>
      <c r="O23" s="322"/>
      <c r="P23" s="322"/>
      <c r="Q23" s="322"/>
      <c r="R23" s="322"/>
      <c r="S23" s="322"/>
      <c r="T23" s="322"/>
      <c r="U23" s="322"/>
    </row>
    <row r="24" spans="1:21" s="322" customFormat="1" ht="21" customHeight="1">
      <c r="B24" s="1497" t="s">
        <v>3848</v>
      </c>
      <c r="C24" s="1496" t="s">
        <v>3831</v>
      </c>
      <c r="D24" s="1496"/>
      <c r="E24" s="372">
        <v>83354.039999999994</v>
      </c>
      <c r="F24" s="372">
        <v>110000</v>
      </c>
      <c r="G24" s="372"/>
      <c r="H24" s="372"/>
      <c r="I24" s="372">
        <v>0</v>
      </c>
      <c r="J24" s="372">
        <v>83354.039999999994</v>
      </c>
      <c r="K24" s="372">
        <f t="shared" si="0"/>
        <v>0</v>
      </c>
      <c r="L24" s="951">
        <v>110000</v>
      </c>
    </row>
    <row r="25" spans="1:21" ht="21" customHeight="1">
      <c r="B25" s="1497" t="s">
        <v>3849</v>
      </c>
      <c r="C25" s="1496" t="s">
        <v>3827</v>
      </c>
      <c r="D25" s="1496"/>
      <c r="E25" s="372">
        <v>139406.39999999999</v>
      </c>
      <c r="F25" s="372"/>
      <c r="G25" s="372"/>
      <c r="H25" s="372"/>
      <c r="I25" s="372">
        <v>131459.09</v>
      </c>
      <c r="J25" s="372">
        <v>7947.31</v>
      </c>
      <c r="K25" s="372">
        <f t="shared" si="0"/>
        <v>-2.7284841053187847E-12</v>
      </c>
      <c r="L25" s="951"/>
      <c r="M25" s="228"/>
      <c r="O25" s="322"/>
      <c r="P25" s="322"/>
      <c r="Q25" s="322"/>
      <c r="R25" s="322"/>
      <c r="S25" s="322"/>
      <c r="T25" s="322"/>
      <c r="U25" s="322"/>
    </row>
    <row r="26" spans="1:21" ht="21" customHeight="1">
      <c r="B26" s="1497" t="s">
        <v>3850</v>
      </c>
      <c r="C26" s="1496" t="s">
        <v>3832</v>
      </c>
      <c r="D26" s="1496"/>
      <c r="E26" s="372">
        <v>6014</v>
      </c>
      <c r="F26" s="372"/>
      <c r="G26" s="372"/>
      <c r="H26" s="372"/>
      <c r="I26" s="372">
        <v>0</v>
      </c>
      <c r="J26" s="372">
        <v>6014</v>
      </c>
      <c r="K26" s="372">
        <f t="shared" si="0"/>
        <v>0</v>
      </c>
      <c r="L26" s="951"/>
      <c r="O26" s="322"/>
      <c r="P26" s="322"/>
      <c r="Q26" s="322"/>
      <c r="R26" s="322"/>
      <c r="S26" s="322"/>
      <c r="T26" s="322"/>
      <c r="U26" s="322"/>
    </row>
    <row r="27" spans="1:21" ht="21" customHeight="1" thickBot="1">
      <c r="B27" s="1719"/>
      <c r="C27" s="1719"/>
      <c r="D27" s="1720"/>
      <c r="E27" s="637"/>
      <c r="F27" s="637"/>
      <c r="G27" s="637"/>
      <c r="H27" s="637"/>
      <c r="I27" s="637"/>
      <c r="J27" s="637"/>
      <c r="K27" s="637"/>
      <c r="L27" s="1015"/>
      <c r="O27" s="322"/>
      <c r="P27" s="322"/>
      <c r="Q27" s="322"/>
      <c r="R27" s="322"/>
      <c r="S27" s="322"/>
      <c r="T27" s="322"/>
      <c r="U27" s="322"/>
    </row>
    <row r="28" spans="1:21" ht="21" customHeight="1" thickTop="1" thickBot="1">
      <c r="B28" s="148"/>
      <c r="C28" s="27"/>
      <c r="D28" s="77" t="s">
        <v>662</v>
      </c>
      <c r="E28" s="219">
        <f t="shared" ref="E28:L28" si="1">SUM(E9:E27)</f>
        <v>1046142.6400000001</v>
      </c>
      <c r="F28" s="219">
        <f>SUM(F9:F27)</f>
        <v>1245723.5099999998</v>
      </c>
      <c r="G28" s="219">
        <f t="shared" si="1"/>
        <v>0</v>
      </c>
      <c r="H28" s="219">
        <f t="shared" si="1"/>
        <v>0</v>
      </c>
      <c r="I28" s="219">
        <f t="shared" si="1"/>
        <v>555033</v>
      </c>
      <c r="J28" s="219">
        <f t="shared" si="1"/>
        <v>206263.74</v>
      </c>
      <c r="K28" s="227">
        <f t="shared" si="1"/>
        <v>266815.70000000007</v>
      </c>
      <c r="L28" s="227">
        <f t="shared" si="1"/>
        <v>1263753.71</v>
      </c>
    </row>
    <row r="29" spans="1:21" ht="13.5" customHeight="1" thickTop="1">
      <c r="B29" s="154"/>
      <c r="C29" s="44" t="s">
        <v>663</v>
      </c>
      <c r="D29" s="152"/>
      <c r="E29" s="42"/>
      <c r="F29" s="42"/>
      <c r="G29" s="42"/>
      <c r="H29" s="42"/>
      <c r="I29" s="42"/>
      <c r="J29" s="42"/>
      <c r="K29" s="150"/>
      <c r="L29" s="150"/>
    </row>
    <row r="31" spans="1:21">
      <c r="L31" s="228"/>
    </row>
    <row r="32" spans="1:21">
      <c r="L32" s="228"/>
    </row>
    <row r="33" spans="12:12">
      <c r="L33" s="228"/>
    </row>
  </sheetData>
  <sheetProtection password="CAF9" sheet="1" objects="1" scenarios="1"/>
  <mergeCells count="9">
    <mergeCell ref="B27:D27"/>
    <mergeCell ref="B2:L2"/>
    <mergeCell ref="B3:L3"/>
    <mergeCell ref="A17:A19"/>
    <mergeCell ref="B5:D5"/>
    <mergeCell ref="B6:D6"/>
    <mergeCell ref="B7:D7"/>
    <mergeCell ref="E4:F6"/>
    <mergeCell ref="K4:L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0"/>
  <dimension ref="A1:T38"/>
  <sheetViews>
    <sheetView zoomScaleNormal="100" workbookViewId="0">
      <selection activeCell="L24" sqref="L24"/>
    </sheetView>
  </sheetViews>
  <sheetFormatPr defaultRowHeight="13.2"/>
  <cols>
    <col min="1" max="1" width="5.6640625" customWidth="1"/>
    <col min="2" max="3" width="4.88671875" customWidth="1"/>
    <col min="4" max="4" width="30.6640625" customWidth="1"/>
    <col min="5" max="12" width="15.6640625" customWidth="1"/>
    <col min="13" max="13" width="15.33203125" customWidth="1"/>
  </cols>
  <sheetData>
    <row r="1" spans="1:20" ht="8.25" customHeight="1"/>
    <row r="2" spans="1:20" ht="20.399999999999999">
      <c r="B2" s="1508" t="s">
        <v>666</v>
      </c>
      <c r="C2" s="1508"/>
      <c r="D2" s="1508"/>
      <c r="E2" s="1508"/>
      <c r="F2" s="1508"/>
      <c r="G2" s="1508"/>
      <c r="H2" s="1508"/>
      <c r="I2" s="1508"/>
      <c r="J2" s="1508"/>
      <c r="K2" s="1508"/>
      <c r="L2" s="1508"/>
    </row>
    <row r="3" spans="1:20" ht="9.75" customHeight="1" thickBot="1">
      <c r="B3" s="1508"/>
      <c r="C3" s="1508"/>
      <c r="D3" s="1508"/>
      <c r="E3" s="1508"/>
      <c r="F3" s="1508"/>
      <c r="G3" s="1508"/>
      <c r="H3" s="1508"/>
      <c r="I3" s="1508"/>
      <c r="J3" s="1508"/>
      <c r="K3" s="1508"/>
      <c r="L3" s="1508"/>
    </row>
    <row r="4" spans="1:20"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20" ht="13.5" customHeight="1">
      <c r="B5" s="1545" t="s">
        <v>656</v>
      </c>
      <c r="C5" s="1545"/>
      <c r="D5" s="1594"/>
      <c r="E5" s="1739"/>
      <c r="F5" s="1740"/>
      <c r="G5" s="20"/>
      <c r="H5" s="20"/>
      <c r="I5" s="20"/>
      <c r="J5" s="20"/>
      <c r="K5" s="1739"/>
      <c r="L5" s="1744"/>
    </row>
    <row r="6" spans="1:20" ht="13.5" customHeight="1">
      <c r="B6" s="1545" t="s">
        <v>657</v>
      </c>
      <c r="C6" s="1545"/>
      <c r="D6" s="1594"/>
      <c r="E6" s="1741"/>
      <c r="F6" s="1742"/>
      <c r="G6" s="20">
        <f>'KEY INPUTS'!D34</f>
        <v>2019</v>
      </c>
      <c r="H6" s="923" t="s">
        <v>280</v>
      </c>
      <c r="I6" s="20" t="s">
        <v>302</v>
      </c>
      <c r="J6" s="20" t="s">
        <v>661</v>
      </c>
      <c r="K6" s="1741"/>
      <c r="L6" s="1745"/>
    </row>
    <row r="7" spans="1:20" ht="13.5" customHeight="1">
      <c r="B7" s="1545" t="s">
        <v>658</v>
      </c>
      <c r="C7" s="1545"/>
      <c r="D7" s="1594"/>
      <c r="E7" s="13" t="s">
        <v>659</v>
      </c>
      <c r="F7" s="13" t="s">
        <v>660</v>
      </c>
      <c r="G7" s="13" t="s">
        <v>661</v>
      </c>
      <c r="H7" s="282"/>
      <c r="I7" s="13"/>
      <c r="J7" s="13" t="s">
        <v>558</v>
      </c>
      <c r="K7" s="13" t="s">
        <v>659</v>
      </c>
      <c r="L7" s="21" t="s">
        <v>660</v>
      </c>
    </row>
    <row r="8" spans="1:20" ht="13.5" customHeight="1" thickBot="1">
      <c r="B8" s="10"/>
      <c r="C8" s="10"/>
      <c r="D8" s="10"/>
      <c r="E8" s="14"/>
      <c r="F8" s="14"/>
      <c r="G8" s="16"/>
      <c r="H8" s="16"/>
      <c r="I8" s="14"/>
      <c r="J8" s="14"/>
      <c r="K8" s="16"/>
      <c r="L8" s="156"/>
    </row>
    <row r="9" spans="1:20" ht="21" customHeight="1" thickTop="1">
      <c r="B9" s="229" t="s">
        <v>3547</v>
      </c>
      <c r="C9" s="22"/>
      <c r="D9" s="23"/>
      <c r="E9" s="224">
        <f>'35- Cap Fund Imprv Auth'!E28</f>
        <v>1046142.6400000001</v>
      </c>
      <c r="F9" s="224">
        <f>'35- Cap Fund Imprv Auth'!F28</f>
        <v>1245723.5099999998</v>
      </c>
      <c r="G9" s="224">
        <f>+'35- Cap Fund Imprv Auth'!G28</f>
        <v>0</v>
      </c>
      <c r="H9" s="224">
        <f>+'35- Cap Fund Imprv Auth'!H28</f>
        <v>0</v>
      </c>
      <c r="I9" s="224">
        <f>+'35- Cap Fund Imprv Auth'!I28</f>
        <v>555033</v>
      </c>
      <c r="J9" s="224">
        <f>+'35- Cap Fund Imprv Auth'!J28</f>
        <v>206263.74</v>
      </c>
      <c r="K9" s="224">
        <f>+'35- Cap Fund Imprv Auth'!K28</f>
        <v>266815.70000000007</v>
      </c>
      <c r="L9" s="225">
        <f>+'35- Cap Fund Imprv Auth'!L28</f>
        <v>1263753.71</v>
      </c>
    </row>
    <row r="10" spans="1:20" ht="21" customHeight="1">
      <c r="B10" s="1497" t="s">
        <v>3860</v>
      </c>
      <c r="C10" s="1498" t="s">
        <v>3851</v>
      </c>
      <c r="D10" s="1498"/>
      <c r="E10" s="372">
        <v>16524.86</v>
      </c>
      <c r="F10" s="372"/>
      <c r="G10" s="372"/>
      <c r="H10" s="372"/>
      <c r="I10" s="372">
        <v>8884</v>
      </c>
      <c r="J10" s="372">
        <v>7640.86</v>
      </c>
      <c r="K10" s="372">
        <f t="shared" ref="K10:K24" si="0">+E10+F10+G10-I10-J10-L10</f>
        <v>9.0949470177292824E-13</v>
      </c>
      <c r="L10" s="951"/>
      <c r="N10" s="322"/>
      <c r="O10" s="322"/>
      <c r="P10" s="322"/>
      <c r="Q10" s="322"/>
      <c r="R10" s="322"/>
      <c r="S10" s="322"/>
      <c r="T10" s="322"/>
    </row>
    <row r="11" spans="1:20" ht="21" customHeight="1">
      <c r="B11" s="1497" t="s">
        <v>3861</v>
      </c>
      <c r="C11" s="1498" t="s">
        <v>3852</v>
      </c>
      <c r="D11" s="1498"/>
      <c r="E11" s="372">
        <v>556720</v>
      </c>
      <c r="F11" s="372"/>
      <c r="G11" s="372"/>
      <c r="H11" s="372"/>
      <c r="I11" s="372">
        <v>53654.750000000058</v>
      </c>
      <c r="J11" s="372"/>
      <c r="K11" s="372">
        <f t="shared" si="0"/>
        <v>503065.24999999994</v>
      </c>
      <c r="L11" s="951"/>
      <c r="N11" s="322"/>
      <c r="O11" s="322"/>
      <c r="P11" s="322"/>
      <c r="Q11" s="322"/>
      <c r="R11" s="322"/>
      <c r="S11" s="322"/>
      <c r="T11" s="322"/>
    </row>
    <row r="12" spans="1:20" ht="21" customHeight="1">
      <c r="A12" s="1576" t="s">
        <v>665</v>
      </c>
      <c r="B12" s="1497" t="s">
        <v>3862</v>
      </c>
      <c r="C12" s="1498" t="s">
        <v>3853</v>
      </c>
      <c r="D12" s="1498"/>
      <c r="E12" s="372">
        <v>120104.17</v>
      </c>
      <c r="F12" s="372"/>
      <c r="G12" s="372"/>
      <c r="H12" s="372"/>
      <c r="I12" s="372">
        <v>104563.2</v>
      </c>
      <c r="J12" s="372">
        <v>15540.97</v>
      </c>
      <c r="K12" s="372">
        <f t="shared" si="0"/>
        <v>1.8189894035458565E-12</v>
      </c>
      <c r="L12" s="951"/>
      <c r="M12" s="228"/>
      <c r="N12" s="322"/>
      <c r="O12" s="322"/>
      <c r="P12" s="322"/>
      <c r="Q12" s="322"/>
      <c r="R12" s="322"/>
      <c r="S12" s="322"/>
      <c r="T12" s="322"/>
    </row>
    <row r="13" spans="1:20" ht="21" customHeight="1">
      <c r="A13" s="1576"/>
      <c r="B13" s="1497" t="s">
        <v>3863</v>
      </c>
      <c r="C13" s="1498" t="s">
        <v>3854</v>
      </c>
      <c r="D13" s="1498"/>
      <c r="E13" s="372">
        <v>14373.51</v>
      </c>
      <c r="F13" s="372"/>
      <c r="G13" s="372"/>
      <c r="H13" s="372"/>
      <c r="I13" s="372">
        <v>0</v>
      </c>
      <c r="J13" s="372"/>
      <c r="K13" s="372">
        <f t="shared" si="0"/>
        <v>14373.51</v>
      </c>
      <c r="L13" s="951"/>
      <c r="N13" s="322"/>
      <c r="O13" s="322"/>
      <c r="P13" s="322"/>
      <c r="Q13" s="322"/>
      <c r="R13" s="322"/>
      <c r="S13" s="322"/>
      <c r="T13" s="322"/>
    </row>
    <row r="14" spans="1:20" s="322" customFormat="1" ht="21" customHeight="1">
      <c r="A14" s="1576"/>
      <c r="B14" s="1497" t="s">
        <v>3864</v>
      </c>
      <c r="C14" s="1498" t="s">
        <v>3855</v>
      </c>
      <c r="D14" s="1498"/>
      <c r="E14" s="372">
        <v>19.05</v>
      </c>
      <c r="F14" s="372"/>
      <c r="G14" s="372"/>
      <c r="H14" s="372"/>
      <c r="I14" s="372">
        <v>0</v>
      </c>
      <c r="J14" s="372"/>
      <c r="K14" s="372">
        <f t="shared" si="0"/>
        <v>19.05</v>
      </c>
      <c r="L14" s="951"/>
    </row>
    <row r="15" spans="1:20" s="322" customFormat="1" ht="21" customHeight="1">
      <c r="A15" s="1576"/>
      <c r="B15" s="1497" t="s">
        <v>3865</v>
      </c>
      <c r="C15" s="1498" t="s">
        <v>3856</v>
      </c>
      <c r="D15" s="1498"/>
      <c r="E15" s="372">
        <v>38913.71</v>
      </c>
      <c r="F15" s="372"/>
      <c r="G15" s="372"/>
      <c r="H15" s="372"/>
      <c r="I15" s="372">
        <v>24699.830000000016</v>
      </c>
      <c r="J15" s="372"/>
      <c r="K15" s="372">
        <f t="shared" si="0"/>
        <v>14213.879999999983</v>
      </c>
      <c r="L15" s="951"/>
    </row>
    <row r="16" spans="1:20" s="322" customFormat="1" ht="21" customHeight="1">
      <c r="A16" s="1576"/>
      <c r="B16" s="1497" t="s">
        <v>3866</v>
      </c>
      <c r="C16" s="1498" t="s">
        <v>3851</v>
      </c>
      <c r="D16" s="1498"/>
      <c r="E16" s="372">
        <v>138929.35</v>
      </c>
      <c r="F16" s="372"/>
      <c r="G16" s="372"/>
      <c r="H16" s="372"/>
      <c r="I16" s="372">
        <v>127352.87000000001</v>
      </c>
      <c r="J16" s="372"/>
      <c r="K16" s="372">
        <f t="shared" si="0"/>
        <v>11576.479999999996</v>
      </c>
      <c r="L16" s="951"/>
    </row>
    <row r="17" spans="1:20" s="322" customFormat="1" ht="21" customHeight="1">
      <c r="A17" s="1576"/>
      <c r="B17" s="1499" t="s">
        <v>3867</v>
      </c>
      <c r="C17" s="1498" t="s">
        <v>3830</v>
      </c>
      <c r="D17" s="1498"/>
      <c r="E17" s="372">
        <v>181035.53</v>
      </c>
      <c r="F17" s="372"/>
      <c r="G17" s="372"/>
      <c r="H17" s="372"/>
      <c r="I17" s="372">
        <v>106490.05</v>
      </c>
      <c r="J17" s="372"/>
      <c r="K17" s="372">
        <f t="shared" si="0"/>
        <v>74545.48</v>
      </c>
      <c r="L17" s="951"/>
    </row>
    <row r="18" spans="1:20" s="322" customFormat="1" ht="21" customHeight="1">
      <c r="A18" s="1576"/>
      <c r="B18" s="1499" t="s">
        <v>3868</v>
      </c>
      <c r="C18" s="1498" t="s">
        <v>3823</v>
      </c>
      <c r="D18" s="1498"/>
      <c r="E18" s="372">
        <v>7854.33</v>
      </c>
      <c r="F18" s="372">
        <v>630000</v>
      </c>
      <c r="G18" s="372"/>
      <c r="H18" s="372"/>
      <c r="I18" s="372">
        <v>28272.109999999986</v>
      </c>
      <c r="J18" s="372"/>
      <c r="K18" s="372">
        <f t="shared" si="0"/>
        <v>0</v>
      </c>
      <c r="L18" s="951">
        <f>+F18+E18-I18</f>
        <v>609582.22</v>
      </c>
    </row>
    <row r="19" spans="1:20" s="322" customFormat="1" ht="21" customHeight="1">
      <c r="A19" s="1576"/>
      <c r="B19" s="1499" t="s">
        <v>3869</v>
      </c>
      <c r="C19" s="1498" t="s">
        <v>3827</v>
      </c>
      <c r="D19" s="1498"/>
      <c r="E19" s="372"/>
      <c r="F19" s="372">
        <v>27342.85</v>
      </c>
      <c r="G19" s="372"/>
      <c r="H19" s="372"/>
      <c r="I19" s="372">
        <v>27655.020000000011</v>
      </c>
      <c r="J19" s="372"/>
      <c r="K19" s="372">
        <f t="shared" si="0"/>
        <v>-312.17000000001281</v>
      </c>
      <c r="L19" s="951"/>
    </row>
    <row r="20" spans="1:20" s="322" customFormat="1" ht="21" customHeight="1">
      <c r="A20" s="1576"/>
      <c r="B20" s="1499" t="s">
        <v>3870</v>
      </c>
      <c r="C20" s="1498" t="s">
        <v>3857</v>
      </c>
      <c r="D20" s="1498"/>
      <c r="E20" s="372">
        <v>994186.57</v>
      </c>
      <c r="F20" s="372"/>
      <c r="G20" s="372"/>
      <c r="H20" s="372"/>
      <c r="I20" s="372">
        <v>87333.320000000065</v>
      </c>
      <c r="J20" s="372"/>
      <c r="K20" s="372">
        <f t="shared" si="0"/>
        <v>906853.24999999988</v>
      </c>
      <c r="L20" s="951"/>
    </row>
    <row r="21" spans="1:20" s="322" customFormat="1" ht="21" customHeight="1">
      <c r="A21" s="1576"/>
      <c r="B21" s="1499" t="s">
        <v>3871</v>
      </c>
      <c r="C21" s="1498" t="s">
        <v>3858</v>
      </c>
      <c r="D21" s="1498"/>
      <c r="E21" s="372">
        <v>638.99</v>
      </c>
      <c r="F21" s="372"/>
      <c r="G21" s="372"/>
      <c r="H21" s="372"/>
      <c r="I21" s="372">
        <v>-10959.640000000014</v>
      </c>
      <c r="J21" s="372"/>
      <c r="K21" s="372">
        <f t="shared" si="0"/>
        <v>11598.630000000014</v>
      </c>
      <c r="L21" s="951"/>
    </row>
    <row r="22" spans="1:20" s="322" customFormat="1" ht="21" customHeight="1">
      <c r="A22" s="1576"/>
      <c r="B22" s="1499" t="s">
        <v>3872</v>
      </c>
      <c r="C22" s="1498" t="s">
        <v>3856</v>
      </c>
      <c r="D22" s="1498"/>
      <c r="E22" s="372"/>
      <c r="F22" s="372">
        <v>1058026.53</v>
      </c>
      <c r="G22" s="372">
        <v>575000</v>
      </c>
      <c r="H22" s="372"/>
      <c r="I22" s="372">
        <v>1470041.3099999998</v>
      </c>
      <c r="J22" s="372"/>
      <c r="K22" s="372">
        <f t="shared" si="0"/>
        <v>0</v>
      </c>
      <c r="L22" s="951">
        <f>+F22+G22-I22</f>
        <v>162985.2200000002</v>
      </c>
    </row>
    <row r="23" spans="1:20" s="322" customFormat="1" ht="21" customHeight="1">
      <c r="A23" s="1576"/>
      <c r="B23" s="1499" t="s">
        <v>3873</v>
      </c>
      <c r="C23" s="1498" t="s">
        <v>3859</v>
      </c>
      <c r="D23" s="1498"/>
      <c r="E23" s="372"/>
      <c r="F23" s="372">
        <v>197936.14</v>
      </c>
      <c r="G23" s="372"/>
      <c r="H23" s="372"/>
      <c r="I23" s="372">
        <v>183505.2300000001</v>
      </c>
      <c r="J23" s="372"/>
      <c r="K23" s="372">
        <f t="shared" si="0"/>
        <v>0</v>
      </c>
      <c r="L23" s="951">
        <f>+F23-I23</f>
        <v>14430.909999999916</v>
      </c>
    </row>
    <row r="24" spans="1:20" ht="21" customHeight="1">
      <c r="A24" s="1576"/>
      <c r="B24" s="1499" t="s">
        <v>3874</v>
      </c>
      <c r="C24" s="1498" t="s">
        <v>3853</v>
      </c>
      <c r="D24" s="1498"/>
      <c r="E24" s="372"/>
      <c r="F24" s="372">
        <v>978084.66</v>
      </c>
      <c r="G24" s="372"/>
      <c r="H24" s="372"/>
      <c r="I24" s="372">
        <v>4069.0599999999977</v>
      </c>
      <c r="J24" s="372"/>
      <c r="K24" s="372">
        <f t="shared" si="0"/>
        <v>0</v>
      </c>
      <c r="L24" s="951">
        <f>+F24-I24</f>
        <v>974015.60000000009</v>
      </c>
      <c r="M24" s="228"/>
      <c r="N24" s="322"/>
      <c r="O24" s="322"/>
      <c r="P24" s="322"/>
      <c r="Q24" s="322"/>
      <c r="R24" s="322"/>
      <c r="S24" s="322"/>
      <c r="T24" s="322"/>
    </row>
    <row r="25" spans="1:20" ht="21" customHeight="1">
      <c r="B25" s="1719"/>
      <c r="C25" s="1719"/>
      <c r="D25" s="1720"/>
      <c r="E25" s="372"/>
      <c r="F25" s="372"/>
      <c r="G25" s="372"/>
      <c r="H25" s="372"/>
      <c r="I25" s="372"/>
      <c r="J25" s="372"/>
      <c r="K25" s="372"/>
      <c r="L25" s="951"/>
      <c r="N25" s="322"/>
      <c r="O25" s="322"/>
      <c r="P25" s="322"/>
      <c r="Q25" s="322"/>
      <c r="R25" s="322"/>
      <c r="S25" s="322"/>
      <c r="T25" s="322"/>
    </row>
    <row r="26" spans="1:20" ht="21" customHeight="1">
      <c r="B26" s="1719"/>
      <c r="C26" s="1719"/>
      <c r="D26" s="1720"/>
      <c r="E26" s="372"/>
      <c r="F26" s="372"/>
      <c r="G26" s="372"/>
      <c r="H26" s="372"/>
      <c r="I26" s="372"/>
      <c r="J26" s="372"/>
      <c r="K26" s="372"/>
      <c r="L26" s="951"/>
      <c r="N26" s="322"/>
      <c r="O26" s="322"/>
      <c r="P26" s="322"/>
      <c r="Q26" s="322"/>
      <c r="R26" s="322"/>
      <c r="S26" s="322"/>
      <c r="T26" s="322"/>
    </row>
    <row r="27" spans="1:20" ht="21" customHeight="1" thickBot="1">
      <c r="B27" s="1719"/>
      <c r="C27" s="1719"/>
      <c r="D27" s="1720"/>
      <c r="E27" s="637"/>
      <c r="F27" s="637"/>
      <c r="G27" s="637"/>
      <c r="H27" s="637"/>
      <c r="I27" s="637"/>
      <c r="J27" s="637"/>
      <c r="K27" s="637"/>
      <c r="L27" s="1015"/>
      <c r="N27" s="322"/>
      <c r="O27" s="322"/>
      <c r="P27" s="322"/>
      <c r="Q27" s="322"/>
      <c r="R27" s="322"/>
      <c r="S27" s="322"/>
      <c r="T27" s="322"/>
    </row>
    <row r="28" spans="1:20" ht="21" customHeight="1" thickTop="1" thickBot="1">
      <c r="B28" s="148"/>
      <c r="C28" s="27"/>
      <c r="D28" s="797" t="s">
        <v>3546</v>
      </c>
      <c r="E28" s="219">
        <f>SUM(E9:E27)</f>
        <v>3115442.7100000004</v>
      </c>
      <c r="F28" s="219">
        <f>SUM(F9:F27)</f>
        <v>4137113.69</v>
      </c>
      <c r="G28" s="219">
        <f t="shared" ref="G28:K28" si="1">SUM(G9:G27)</f>
        <v>575000</v>
      </c>
      <c r="H28" s="219">
        <f t="shared" si="1"/>
        <v>0</v>
      </c>
      <c r="I28" s="219">
        <f t="shared" si="1"/>
        <v>2770594.1100000003</v>
      </c>
      <c r="J28" s="219">
        <f t="shared" si="1"/>
        <v>229445.56999999998</v>
      </c>
      <c r="K28" s="219">
        <f t="shared" si="1"/>
        <v>1802749.0599999998</v>
      </c>
      <c r="L28" s="227">
        <f>SUM(L9:L27)</f>
        <v>3024767.66</v>
      </c>
    </row>
    <row r="29" spans="1:20" ht="13.5" customHeight="1" thickTop="1">
      <c r="B29" s="154"/>
      <c r="C29" s="44" t="s">
        <v>663</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password="CAF9" sheet="1" objects="1" scenarios="1"/>
  <mergeCells count="11">
    <mergeCell ref="A12:A24"/>
    <mergeCell ref="B5:D5"/>
    <mergeCell ref="B6:D6"/>
    <mergeCell ref="B7:D7"/>
    <mergeCell ref="E4:F6"/>
    <mergeCell ref="B27:D27"/>
    <mergeCell ref="B26:D26"/>
    <mergeCell ref="B25:D25"/>
    <mergeCell ref="B2:L2"/>
    <mergeCell ref="B3:L3"/>
    <mergeCell ref="K4:L6"/>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1"/>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+'35.1- Cap Fund Imprv Auth '!E28</f>
        <v>3115442.7100000004</v>
      </c>
      <c r="F9" s="224">
        <f>+'35.1- Cap Fund Imprv Auth '!F28</f>
        <v>4137113.69</v>
      </c>
      <c r="G9" s="224">
        <f>+'35.1- Cap Fund Imprv Auth '!G28</f>
        <v>575000</v>
      </c>
      <c r="H9" s="224">
        <f>+'35- Cap Fund Imprv Auth'!H28</f>
        <v>0</v>
      </c>
      <c r="I9" s="224">
        <f>+'35.1- Cap Fund Imprv Auth '!I28</f>
        <v>2770594.1100000003</v>
      </c>
      <c r="J9" s="224">
        <f>+'35.1- Cap Fund Imprv Auth '!J28</f>
        <v>229445.56999999998</v>
      </c>
      <c r="K9" s="224">
        <f>+'35.1- Cap Fund Imprv Auth '!K28</f>
        <v>1802749.0599999998</v>
      </c>
      <c r="L9" s="225">
        <f>+'35.1- Cap Fund Imprv Auth '!L28</f>
        <v>3024767.66</v>
      </c>
    </row>
    <row r="10" spans="1:13" ht="21" customHeight="1">
      <c r="B10" s="1746"/>
      <c r="C10" s="1746"/>
      <c r="D10" s="1747"/>
      <c r="E10" s="584"/>
      <c r="F10" s="584"/>
      <c r="G10" s="584"/>
      <c r="H10" s="584"/>
      <c r="I10" s="584"/>
      <c r="J10" s="584"/>
      <c r="K10" s="584"/>
      <c r="L10" s="1016"/>
    </row>
    <row r="11" spans="1:13" ht="21" customHeight="1">
      <c r="B11" s="1746"/>
      <c r="C11" s="1746"/>
      <c r="D11" s="1747"/>
      <c r="E11" s="584"/>
      <c r="F11" s="584"/>
      <c r="G11" s="584"/>
      <c r="H11" s="584"/>
      <c r="I11" s="584"/>
      <c r="J11" s="584"/>
      <c r="K11" s="584"/>
      <c r="L11" s="1016"/>
    </row>
    <row r="12" spans="1:13" ht="21" customHeight="1">
      <c r="A12" s="1576" t="s">
        <v>3628</v>
      </c>
      <c r="B12" s="1746"/>
      <c r="C12" s="1746"/>
      <c r="D12" s="1747"/>
      <c r="E12" s="584"/>
      <c r="F12" s="584"/>
      <c r="G12" s="584"/>
      <c r="H12" s="584"/>
      <c r="I12" s="584"/>
      <c r="J12" s="584"/>
      <c r="K12" s="584"/>
      <c r="L12" s="1016"/>
      <c r="M12" s="325"/>
    </row>
    <row r="13" spans="1:13" ht="21" customHeight="1">
      <c r="A13" s="1576"/>
      <c r="B13" s="1746"/>
      <c r="C13" s="1746"/>
      <c r="D13" s="1747"/>
      <c r="E13" s="584"/>
      <c r="F13" s="584"/>
      <c r="G13" s="584"/>
      <c r="H13" s="584"/>
      <c r="I13" s="584"/>
      <c r="J13" s="584"/>
      <c r="K13" s="584"/>
      <c r="L13" s="1016"/>
    </row>
    <row r="14" spans="1:13" ht="21" customHeight="1">
      <c r="A14" s="1576"/>
      <c r="B14" s="1746"/>
      <c r="C14" s="1746"/>
      <c r="D14" s="1747"/>
      <c r="E14" s="584"/>
      <c r="F14" s="584"/>
      <c r="G14" s="584"/>
      <c r="H14" s="584"/>
      <c r="I14" s="584"/>
      <c r="J14" s="584"/>
      <c r="K14" s="584"/>
      <c r="L14" s="1016"/>
    </row>
    <row r="15" spans="1:13" ht="21" customHeight="1">
      <c r="A15" s="1576"/>
      <c r="B15" s="1746"/>
      <c r="C15" s="1746"/>
      <c r="D15" s="1747"/>
      <c r="E15" s="584"/>
      <c r="F15" s="584"/>
      <c r="G15" s="584"/>
      <c r="H15" s="584"/>
      <c r="I15" s="584"/>
      <c r="J15" s="584"/>
      <c r="K15" s="584"/>
      <c r="L15" s="1016"/>
    </row>
    <row r="16" spans="1:13" ht="21" customHeight="1">
      <c r="A16" s="1576"/>
      <c r="B16" s="1746"/>
      <c r="C16" s="1746"/>
      <c r="D16" s="1747"/>
      <c r="E16" s="584"/>
      <c r="F16" s="584"/>
      <c r="G16" s="584"/>
      <c r="H16" s="584"/>
      <c r="I16" s="584"/>
      <c r="J16" s="584"/>
      <c r="K16" s="584"/>
      <c r="L16" s="1016"/>
    </row>
    <row r="17" spans="1:13" ht="21" customHeight="1">
      <c r="A17" s="1576"/>
      <c r="B17" s="1746"/>
      <c r="C17" s="1746"/>
      <c r="D17" s="1747"/>
      <c r="E17" s="584"/>
      <c r="F17" s="584"/>
      <c r="G17" s="584"/>
      <c r="H17" s="584"/>
      <c r="I17" s="584"/>
      <c r="J17" s="584"/>
      <c r="K17" s="584"/>
      <c r="L17" s="1016"/>
    </row>
    <row r="18" spans="1:13" ht="21" customHeight="1">
      <c r="A18" s="1576"/>
      <c r="B18" s="1746"/>
      <c r="C18" s="1746"/>
      <c r="D18" s="1747"/>
      <c r="E18" s="584"/>
      <c r="F18" s="584"/>
      <c r="G18" s="584"/>
      <c r="H18" s="584"/>
      <c r="I18" s="584"/>
      <c r="J18" s="584"/>
      <c r="K18" s="584"/>
      <c r="L18" s="1016"/>
    </row>
    <row r="19" spans="1:13" ht="21" customHeight="1">
      <c r="A19" s="1576"/>
      <c r="B19" s="1746"/>
      <c r="C19" s="1746"/>
      <c r="D19" s="1747"/>
      <c r="E19" s="584"/>
      <c r="F19" s="584"/>
      <c r="G19" s="584"/>
      <c r="H19" s="584"/>
      <c r="I19" s="584"/>
      <c r="J19" s="584"/>
      <c r="K19" s="584"/>
      <c r="L19" s="1016"/>
    </row>
    <row r="20" spans="1:13" ht="21" customHeight="1">
      <c r="A20" s="1576"/>
      <c r="B20" s="1746"/>
      <c r="C20" s="1746"/>
      <c r="D20" s="1747"/>
      <c r="E20" s="584"/>
      <c r="F20" s="584"/>
      <c r="G20" s="584"/>
      <c r="H20" s="584"/>
      <c r="I20" s="584"/>
      <c r="J20" s="584"/>
      <c r="K20" s="584"/>
      <c r="L20" s="1016"/>
    </row>
    <row r="21" spans="1:13" ht="21" customHeight="1">
      <c r="A21" s="1576"/>
      <c r="B21" s="1746"/>
      <c r="C21" s="1746"/>
      <c r="D21" s="1747"/>
      <c r="E21" s="584"/>
      <c r="F21" s="584"/>
      <c r="G21" s="584"/>
      <c r="H21" s="584"/>
      <c r="I21" s="584"/>
      <c r="J21" s="584"/>
      <c r="K21" s="584"/>
      <c r="L21" s="1016"/>
    </row>
    <row r="22" spans="1:13" ht="21" customHeight="1">
      <c r="A22" s="1576"/>
      <c r="B22" s="1746"/>
      <c r="C22" s="1746"/>
      <c r="D22" s="1747"/>
      <c r="E22" s="584"/>
      <c r="F22" s="584"/>
      <c r="G22" s="584"/>
      <c r="H22" s="584"/>
      <c r="I22" s="584"/>
      <c r="J22" s="584"/>
      <c r="K22" s="584"/>
      <c r="L22" s="1016"/>
    </row>
    <row r="23" spans="1:13" ht="21" customHeight="1">
      <c r="A23" s="1576"/>
      <c r="B23" s="1746"/>
      <c r="C23" s="1746"/>
      <c r="D23" s="1747"/>
      <c r="E23" s="584"/>
      <c r="F23" s="584"/>
      <c r="G23" s="584"/>
      <c r="H23" s="584"/>
      <c r="I23" s="584"/>
      <c r="J23" s="584"/>
      <c r="K23" s="584"/>
      <c r="L23" s="1016"/>
    </row>
    <row r="24" spans="1:13" ht="21" customHeight="1">
      <c r="A24" s="1576"/>
      <c r="B24" s="1746"/>
      <c r="C24" s="1746"/>
      <c r="D24" s="1747"/>
      <c r="E24" s="584"/>
      <c r="F24" s="584"/>
      <c r="G24" s="584"/>
      <c r="H24" s="584"/>
      <c r="I24" s="584"/>
      <c r="J24" s="584"/>
      <c r="K24" s="584"/>
      <c r="L24" s="1016"/>
      <c r="M24" s="325"/>
    </row>
    <row r="25" spans="1:13" ht="21" customHeight="1">
      <c r="B25" s="1746"/>
      <c r="C25" s="1746"/>
      <c r="D25" s="1747"/>
      <c r="E25" s="584"/>
      <c r="F25" s="584"/>
      <c r="G25" s="584"/>
      <c r="H25" s="584"/>
      <c r="I25" s="584"/>
      <c r="J25" s="584"/>
      <c r="K25" s="584"/>
      <c r="L25" s="1016"/>
    </row>
    <row r="26" spans="1:13" ht="21" customHeight="1">
      <c r="B26" s="1746"/>
      <c r="C26" s="1746"/>
      <c r="D26" s="1747"/>
      <c r="E26" s="584"/>
      <c r="F26" s="584"/>
      <c r="G26" s="584"/>
      <c r="H26" s="584"/>
      <c r="I26" s="584"/>
      <c r="J26" s="584"/>
      <c r="K26" s="584"/>
      <c r="L26" s="1016"/>
    </row>
    <row r="27" spans="1:13" ht="21" customHeight="1" thickBot="1">
      <c r="B27" s="1746"/>
      <c r="C27" s="1746"/>
      <c r="D27" s="1747"/>
      <c r="E27" s="1017"/>
      <c r="F27" s="1017"/>
      <c r="G27" s="1017"/>
      <c r="H27" s="1017"/>
      <c r="I27" s="1017"/>
      <c r="J27" s="1017"/>
      <c r="K27" s="1017"/>
      <c r="L27" s="1018"/>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2"/>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+'35.2- Cap Fund Imprv Auth'!E28</f>
        <v>3115442.7100000004</v>
      </c>
      <c r="F9" s="224">
        <f>+'35.2- Cap Fund Imprv Auth'!F28</f>
        <v>4137113.69</v>
      </c>
      <c r="G9" s="224">
        <f>+'35.2- Cap Fund Imprv Auth'!G28</f>
        <v>575000</v>
      </c>
      <c r="H9" s="224">
        <f>+'35- Cap Fund Imprv Auth'!H28</f>
        <v>0</v>
      </c>
      <c r="I9" s="224">
        <f>+'35.2- Cap Fund Imprv Auth'!I28</f>
        <v>2770594.1100000003</v>
      </c>
      <c r="J9" s="224">
        <f>+'35.2- Cap Fund Imprv Auth'!J28</f>
        <v>229445.56999999998</v>
      </c>
      <c r="K9" s="224">
        <f>+'35.2- Cap Fund Imprv Auth'!K28</f>
        <v>1802749.0599999998</v>
      </c>
      <c r="L9" s="225">
        <f>+'35.2-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3629</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3"/>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+'35.3- Cap Fund Imprv Auth'!E28</f>
        <v>3115442.7100000004</v>
      </c>
      <c r="F9" s="224">
        <f>+'35.3- Cap Fund Imprv Auth'!F28</f>
        <v>4137113.69</v>
      </c>
      <c r="G9" s="224">
        <f>+'35.3- Cap Fund Imprv Auth'!G28</f>
        <v>575000</v>
      </c>
      <c r="H9" s="224">
        <f>+'35- Cap Fund Imprv Auth'!H28</f>
        <v>0</v>
      </c>
      <c r="I9" s="224">
        <f>+'35.3- Cap Fund Imprv Auth'!I28</f>
        <v>2770594.1100000003</v>
      </c>
      <c r="J9" s="224">
        <f>+'35.3- Cap Fund Imprv Auth'!J28</f>
        <v>229445.56999999998</v>
      </c>
      <c r="K9" s="224">
        <f>+'35.3- Cap Fund Imprv Auth'!K28</f>
        <v>1802749.0599999998</v>
      </c>
      <c r="L9" s="225">
        <f>+'35.3-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3630</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4"/>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+'35.4- Cap Fund Imprv Auth'!E28</f>
        <v>3115442.7100000004</v>
      </c>
      <c r="F9" s="224">
        <f>+'35.4- Cap Fund Imprv Auth'!F28</f>
        <v>4137113.69</v>
      </c>
      <c r="G9" s="224">
        <f>+'35.4- Cap Fund Imprv Auth'!G28</f>
        <v>575000</v>
      </c>
      <c r="H9" s="224">
        <f>+'35.4- Cap Fund Imprv Auth'!H28</f>
        <v>0</v>
      </c>
      <c r="I9" s="224">
        <f>+'35.4- Cap Fund Imprv Auth'!I28</f>
        <v>2770594.1100000003</v>
      </c>
      <c r="J9" s="224">
        <f>+'35.4- Cap Fund Imprv Auth'!J28</f>
        <v>229445.56999999998</v>
      </c>
      <c r="K9" s="224">
        <f>+'35.4- Cap Fund Imprv Auth'!K28</f>
        <v>1802749.0599999998</v>
      </c>
      <c r="L9" s="225">
        <f>+'35.4-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3631</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5"/>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+'35.5- Cap Fund Imprv Auth'!E28</f>
        <v>3115442.7100000004</v>
      </c>
      <c r="F9" s="224">
        <f>+'35.5- Cap Fund Imprv Auth'!F28</f>
        <v>4137113.69</v>
      </c>
      <c r="G9" s="224">
        <f>+'35.5- Cap Fund Imprv Auth'!G28</f>
        <v>575000</v>
      </c>
      <c r="H9" s="224">
        <f>+'35.5- Cap Fund Imprv Auth'!H28</f>
        <v>0</v>
      </c>
      <c r="I9" s="224">
        <f>+'35.5- Cap Fund Imprv Auth'!I28</f>
        <v>2770594.1100000003</v>
      </c>
      <c r="J9" s="224">
        <f>+'35.5- Cap Fund Imprv Auth'!J28</f>
        <v>229445.56999999998</v>
      </c>
      <c r="K9" s="224">
        <f>+'35.5- Cap Fund Imprv Auth'!K28</f>
        <v>1802749.0599999998</v>
      </c>
      <c r="L9" s="225">
        <f>+'35.5-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3632</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6"/>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+'35.6- Cap Fund Imprv Auth'!E28</f>
        <v>3115442.7100000004</v>
      </c>
      <c r="F9" s="224">
        <f>+'35.6- Cap Fund Imprv Auth'!F28</f>
        <v>4137113.69</v>
      </c>
      <c r="G9" s="224">
        <f>+'35.6- Cap Fund Imprv Auth'!G28</f>
        <v>575000</v>
      </c>
      <c r="H9" s="224">
        <f>+'35.6- Cap Fund Imprv Auth'!H28</f>
        <v>0</v>
      </c>
      <c r="I9" s="224">
        <f>+'35.6- Cap Fund Imprv Auth'!I28</f>
        <v>2770594.1100000003</v>
      </c>
      <c r="J9" s="224">
        <f>+'35.6- Cap Fund Imprv Auth'!J28</f>
        <v>229445.56999999998</v>
      </c>
      <c r="K9" s="224">
        <f>+'35.6- Cap Fund Imprv Auth'!K28</f>
        <v>1802749.0599999998</v>
      </c>
      <c r="L9" s="225">
        <f>+'35.6-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3633</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7"/>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+'35.7- Cap Fund Imprv Auth'!E28</f>
        <v>3115442.7100000004</v>
      </c>
      <c r="F9" s="224">
        <f>+'35.7- Cap Fund Imprv Auth'!F28</f>
        <v>4137113.69</v>
      </c>
      <c r="G9" s="224">
        <f>+'35.7- Cap Fund Imprv Auth'!G28</f>
        <v>575000</v>
      </c>
      <c r="H9" s="224">
        <f>+'35.7- Cap Fund Imprv Auth'!H28</f>
        <v>0</v>
      </c>
      <c r="I9" s="224">
        <f>+'35.7- Cap Fund Imprv Auth'!I28</f>
        <v>2770594.1100000003</v>
      </c>
      <c r="J9" s="224">
        <f>+'35.7- Cap Fund Imprv Auth'!J28</f>
        <v>229445.56999999998</v>
      </c>
      <c r="K9" s="224">
        <f>+'35.7- Cap Fund Imprv Auth'!K28</f>
        <v>1802749.0599999998</v>
      </c>
      <c r="L9" s="225">
        <f>+'35.7-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3634</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8"/>
  <dimension ref="A1:M38"/>
  <sheetViews>
    <sheetView zoomScaleNormal="100" workbookViewId="0">
      <selection activeCell="B1" sqref="B1"/>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+'35.8- Cap Fund Imprv Auth'!E28</f>
        <v>3115442.7100000004</v>
      </c>
      <c r="F9" s="224">
        <f>+'35.8- Cap Fund Imprv Auth'!F28</f>
        <v>4137113.69</v>
      </c>
      <c r="G9" s="224">
        <f>+'35.8- Cap Fund Imprv Auth'!G28</f>
        <v>575000</v>
      </c>
      <c r="H9" s="224">
        <f>+'35.8- Cap Fund Imprv Auth'!H28</f>
        <v>0</v>
      </c>
      <c r="I9" s="224">
        <f>+'35.8- Cap Fund Imprv Auth'!I28</f>
        <v>2770594.1100000003</v>
      </c>
      <c r="J9" s="224">
        <f>+'35.8- Cap Fund Imprv Auth'!J28</f>
        <v>229445.56999999998</v>
      </c>
      <c r="K9" s="224">
        <f>+'35.8- Cap Fund Imprv Auth'!K28</f>
        <v>1802749.0599999998</v>
      </c>
      <c r="L9" s="225">
        <f>+'35.8- Cap Fund Imprv Auth'!L28</f>
        <v>3024767.66</v>
      </c>
    </row>
    <row r="10" spans="1:13" ht="21" customHeight="1">
      <c r="B10" s="1719"/>
      <c r="C10" s="1719"/>
      <c r="D10" s="1720"/>
      <c r="E10" s="372"/>
      <c r="F10" s="372"/>
      <c r="G10" s="372"/>
      <c r="H10" s="372"/>
      <c r="I10" s="372"/>
      <c r="J10" s="372"/>
      <c r="K10" s="372"/>
      <c r="L10" s="951"/>
    </row>
    <row r="11" spans="1:13" ht="21" customHeight="1">
      <c r="B11" s="1719"/>
      <c r="C11" s="1719"/>
      <c r="D11" s="1720"/>
      <c r="E11" s="372"/>
      <c r="F11" s="372"/>
      <c r="G11" s="372"/>
      <c r="H11" s="372"/>
      <c r="I11" s="372"/>
      <c r="J11" s="372"/>
      <c r="K11" s="372"/>
      <c r="L11" s="951"/>
    </row>
    <row r="12" spans="1:13" ht="21" customHeight="1">
      <c r="A12" s="1576" t="s">
        <v>3635</v>
      </c>
      <c r="B12" s="1719"/>
      <c r="C12" s="1719"/>
      <c r="D12" s="1720"/>
      <c r="E12" s="372"/>
      <c r="F12" s="372"/>
      <c r="G12" s="372"/>
      <c r="H12" s="372"/>
      <c r="I12" s="372"/>
      <c r="J12" s="372"/>
      <c r="K12" s="372"/>
      <c r="L12" s="951"/>
      <c r="M12" s="325"/>
    </row>
    <row r="13" spans="1:13" ht="21" customHeight="1">
      <c r="A13" s="1576"/>
      <c r="B13" s="1719"/>
      <c r="C13" s="1719"/>
      <c r="D13" s="1720"/>
      <c r="E13" s="372"/>
      <c r="F13" s="372"/>
      <c r="G13" s="372"/>
      <c r="H13" s="372"/>
      <c r="I13" s="372"/>
      <c r="J13" s="372"/>
      <c r="K13" s="372"/>
      <c r="L13" s="951"/>
    </row>
    <row r="14" spans="1:13" ht="21" customHeight="1">
      <c r="A14" s="1576"/>
      <c r="B14" s="1719"/>
      <c r="C14" s="1719"/>
      <c r="D14" s="1720"/>
      <c r="E14" s="372"/>
      <c r="F14" s="372"/>
      <c r="G14" s="372"/>
      <c r="H14" s="372"/>
      <c r="I14" s="372"/>
      <c r="J14" s="372"/>
      <c r="K14" s="372"/>
      <c r="L14" s="951"/>
    </row>
    <row r="15" spans="1:13" ht="21" customHeight="1">
      <c r="A15" s="1576"/>
      <c r="B15" s="1719"/>
      <c r="C15" s="1719"/>
      <c r="D15" s="1720"/>
      <c r="E15" s="372"/>
      <c r="F15" s="372"/>
      <c r="G15" s="372"/>
      <c r="H15" s="372"/>
      <c r="I15" s="372"/>
      <c r="J15" s="372"/>
      <c r="K15" s="372"/>
      <c r="L15" s="951"/>
    </row>
    <row r="16" spans="1:13" ht="21" customHeight="1">
      <c r="A16" s="1576"/>
      <c r="B16" s="1719"/>
      <c r="C16" s="1719"/>
      <c r="D16" s="1720"/>
      <c r="E16" s="372"/>
      <c r="F16" s="372"/>
      <c r="G16" s="372"/>
      <c r="H16" s="372"/>
      <c r="I16" s="372"/>
      <c r="J16" s="372"/>
      <c r="K16" s="372"/>
      <c r="L16" s="951"/>
    </row>
    <row r="17" spans="1:13" ht="21" customHeight="1">
      <c r="A17" s="1576"/>
      <c r="B17" s="1719"/>
      <c r="C17" s="1719"/>
      <c r="D17" s="1720"/>
      <c r="E17" s="372"/>
      <c r="F17" s="372"/>
      <c r="G17" s="372"/>
      <c r="H17" s="372"/>
      <c r="I17" s="372"/>
      <c r="J17" s="372"/>
      <c r="K17" s="372"/>
      <c r="L17" s="951"/>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719"/>
      <c r="C27" s="1719"/>
      <c r="D27" s="1720"/>
      <c r="E27" s="637"/>
      <c r="F27" s="637"/>
      <c r="G27" s="637"/>
      <c r="H27" s="637"/>
      <c r="I27" s="637"/>
      <c r="J27" s="637"/>
      <c r="K27" s="637"/>
      <c r="L27" s="1015"/>
    </row>
    <row r="28" spans="1:13" ht="21" customHeight="1" thickTop="1" thickBot="1">
      <c r="B28" s="148"/>
      <c r="C28" s="27"/>
      <c r="D28" s="797" t="s">
        <v>3546</v>
      </c>
      <c r="E28" s="219">
        <f t="shared" ref="E28:K28" si="0">SUM(E9:E27)</f>
        <v>3115442.7100000004</v>
      </c>
      <c r="F28" s="219">
        <f>SUM(F9:F27)</f>
        <v>4137113.69</v>
      </c>
      <c r="G28" s="219">
        <f t="shared" si="0"/>
        <v>575000</v>
      </c>
      <c r="H28" s="219">
        <f t="shared" si="0"/>
        <v>0</v>
      </c>
      <c r="I28" s="219">
        <f t="shared" si="0"/>
        <v>2770594.1100000003</v>
      </c>
      <c r="J28" s="219">
        <f t="shared" si="0"/>
        <v>229445.56999999998</v>
      </c>
      <c r="K28" s="219">
        <f t="shared" si="0"/>
        <v>1802749.0599999998</v>
      </c>
      <c r="L28" s="227">
        <f>SUM(L9:L27)</f>
        <v>3024767.66</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3:Q47"/>
  <sheetViews>
    <sheetView zoomScaleNormal="100" zoomScaleSheetLayoutView="100" workbookViewId="0">
      <selection activeCell="G31" sqref="G31:G32"/>
    </sheetView>
  </sheetViews>
  <sheetFormatPr defaultRowHeight="13.2"/>
  <cols>
    <col min="1" max="1" width="4.6640625" customWidth="1"/>
    <col min="2" max="2" width="4.88671875" customWidth="1"/>
    <col min="3" max="4" width="4.6640625" customWidth="1"/>
    <col min="5" max="5" width="31.5546875" customWidth="1"/>
    <col min="6" max="6" width="15.6640625" customWidth="1"/>
    <col min="7" max="7" width="16.6640625" style="246" customWidth="1"/>
    <col min="8" max="8" width="16.6640625" style="277" customWidth="1"/>
    <col min="9" max="9" width="13.5546875" style="747" bestFit="1" customWidth="1"/>
    <col min="10" max="10" width="10.88671875" style="747" bestFit="1" customWidth="1"/>
  </cols>
  <sheetData>
    <row r="3" spans="2:17" ht="22.8">
      <c r="B3" s="1548" t="s">
        <v>543</v>
      </c>
      <c r="C3" s="1548"/>
      <c r="D3" s="1548"/>
      <c r="E3" s="1548"/>
      <c r="F3" s="1548"/>
      <c r="G3" s="1548"/>
      <c r="H3" s="1548"/>
    </row>
    <row r="4" spans="2:17" ht="22.8">
      <c r="B4" s="1548" t="s">
        <v>604</v>
      </c>
      <c r="C4" s="1548"/>
      <c r="D4" s="1548"/>
      <c r="E4" s="1548"/>
      <c r="F4" s="1548"/>
      <c r="G4" s="1548"/>
      <c r="H4" s="1548"/>
    </row>
    <row r="5" spans="2:17" ht="17.399999999999999">
      <c r="B5" s="1559" t="s">
        <v>781</v>
      </c>
      <c r="C5" s="1559"/>
      <c r="D5" s="1559"/>
      <c r="E5" s="1559"/>
      <c r="F5" s="1559"/>
      <c r="G5" s="1559"/>
      <c r="H5" s="1559"/>
    </row>
    <row r="6" spans="2:17" ht="15.6">
      <c r="B6" s="1555" t="str">
        <f>'KEY INPUTS'!D44</f>
        <v>AS  AT  DECEMBER  31, 2019</v>
      </c>
      <c r="C6" s="1509"/>
      <c r="D6" s="1509"/>
      <c r="E6" s="1509"/>
      <c r="F6" s="1509"/>
      <c r="G6" s="1509"/>
      <c r="H6" s="1509"/>
    </row>
    <row r="7" spans="2:17" ht="13.8" thickBot="1"/>
    <row r="8" spans="2:17" ht="36" customHeight="1" thickTop="1" thickBot="1">
      <c r="B8" s="1552" t="s">
        <v>124</v>
      </c>
      <c r="C8" s="1552"/>
      <c r="D8" s="1552"/>
      <c r="E8" s="1552"/>
      <c r="F8" s="1553"/>
      <c r="G8" s="259" t="s">
        <v>125</v>
      </c>
      <c r="H8" s="260" t="s">
        <v>126</v>
      </c>
    </row>
    <row r="9" spans="2:17" ht="21" customHeight="1" thickTop="1">
      <c r="B9" s="841"/>
      <c r="C9" s="841"/>
      <c r="D9" s="841"/>
      <c r="E9" s="841"/>
      <c r="F9" s="841"/>
      <c r="G9" s="842"/>
      <c r="H9" s="843"/>
      <c r="K9" s="322"/>
      <c r="L9" s="322"/>
      <c r="M9" s="322"/>
      <c r="N9" s="322"/>
      <c r="O9" s="322"/>
      <c r="P9" s="322"/>
      <c r="Q9" s="322"/>
    </row>
    <row r="10" spans="2:17" ht="21" customHeight="1">
      <c r="B10" s="845" t="s">
        <v>3510</v>
      </c>
      <c r="C10" s="640"/>
      <c r="D10" s="640"/>
      <c r="E10" s="640"/>
      <c r="F10" s="640"/>
      <c r="G10" s="844"/>
      <c r="H10" s="664"/>
      <c r="K10" s="322"/>
      <c r="L10" s="377"/>
      <c r="M10" s="322"/>
      <c r="N10" s="322"/>
      <c r="O10" s="322"/>
      <c r="P10" s="322"/>
      <c r="Q10" s="322"/>
    </row>
    <row r="11" spans="2:17" ht="21" customHeight="1">
      <c r="B11" s="640"/>
      <c r="C11" s="845" t="s">
        <v>459</v>
      </c>
      <c r="D11" s="640"/>
      <c r="E11" s="640"/>
      <c r="F11" s="640"/>
      <c r="G11" s="844">
        <f>+'9-Cash Reconciliation'!I8</f>
        <v>30389.75</v>
      </c>
      <c r="H11" s="664"/>
      <c r="I11" s="748"/>
      <c r="K11" s="322"/>
      <c r="L11" s="322"/>
      <c r="M11" s="322"/>
      <c r="N11" s="322"/>
      <c r="O11" s="322"/>
      <c r="P11" s="322"/>
      <c r="Q11" s="322"/>
    </row>
    <row r="12" spans="2:17" ht="21" customHeight="1">
      <c r="B12" s="566"/>
      <c r="C12" s="567" t="s">
        <v>3964</v>
      </c>
      <c r="D12" s="566"/>
      <c r="E12" s="566"/>
      <c r="F12" s="566"/>
      <c r="G12" s="374">
        <v>41299.980000000003</v>
      </c>
      <c r="H12" s="578"/>
      <c r="K12" s="322"/>
      <c r="L12" s="322"/>
      <c r="M12" s="322"/>
      <c r="N12" s="322"/>
      <c r="O12" s="322"/>
      <c r="P12" s="322"/>
      <c r="Q12" s="322"/>
    </row>
    <row r="13" spans="2:17" ht="21" customHeight="1">
      <c r="B13" s="566"/>
      <c r="C13" s="567" t="s">
        <v>3511</v>
      </c>
      <c r="D13" s="566"/>
      <c r="E13" s="566"/>
      <c r="F13" s="566"/>
      <c r="G13" s="374"/>
      <c r="H13" s="578">
        <v>12.6</v>
      </c>
      <c r="K13" s="322"/>
      <c r="L13" s="322"/>
      <c r="M13" s="322"/>
      <c r="N13" s="322"/>
      <c r="O13" s="322"/>
      <c r="P13" s="322"/>
      <c r="Q13" s="322"/>
    </row>
    <row r="14" spans="2:17" ht="21" customHeight="1">
      <c r="B14" s="566"/>
      <c r="C14" s="567" t="s">
        <v>3966</v>
      </c>
      <c r="D14" s="566"/>
      <c r="E14" s="566"/>
      <c r="F14" s="566"/>
      <c r="G14" s="374"/>
      <c r="H14" s="578">
        <v>17499.990000000002</v>
      </c>
      <c r="I14" s="749"/>
      <c r="K14" s="322"/>
      <c r="L14" s="322"/>
      <c r="M14" s="322"/>
      <c r="N14" s="322"/>
      <c r="O14" s="322"/>
      <c r="P14" s="322"/>
      <c r="Q14" s="322"/>
    </row>
    <row r="15" spans="2:17" ht="21" customHeight="1">
      <c r="B15" s="566"/>
      <c r="C15" s="566" t="s">
        <v>3965</v>
      </c>
      <c r="D15" s="566"/>
      <c r="E15" s="566"/>
      <c r="F15" s="566"/>
      <c r="G15" s="597"/>
      <c r="H15" s="579">
        <v>54177.14</v>
      </c>
      <c r="I15" s="749"/>
      <c r="K15" s="322"/>
      <c r="L15" s="322"/>
      <c r="M15" s="322"/>
      <c r="N15" s="322"/>
      <c r="O15" s="322"/>
      <c r="P15" s="322"/>
      <c r="Q15" s="322"/>
    </row>
    <row r="16" spans="2:17" ht="21" customHeight="1" thickBot="1">
      <c r="B16" s="566"/>
      <c r="C16" s="566"/>
      <c r="D16" s="566"/>
      <c r="E16" s="566"/>
      <c r="F16" s="566"/>
      <c r="G16" s="597"/>
      <c r="H16" s="763"/>
      <c r="K16" s="322"/>
      <c r="L16" s="322"/>
      <c r="M16" s="322"/>
      <c r="N16" s="322"/>
      <c r="O16" s="322"/>
      <c r="P16" s="322"/>
      <c r="Q16" s="322"/>
    </row>
    <row r="17" spans="2:17" ht="21" customHeight="1" thickTop="1" thickBot="1">
      <c r="B17" s="751"/>
      <c r="C17" s="837" t="s">
        <v>3512</v>
      </c>
      <c r="D17" s="847"/>
      <c r="E17" s="847"/>
      <c r="F17" s="847"/>
      <c r="G17" s="848">
        <f>SUM(G9:G16)</f>
        <v>71689.73000000001</v>
      </c>
      <c r="H17" s="849">
        <f>SUM(H9:H16)</f>
        <v>71689.73</v>
      </c>
      <c r="I17" s="749"/>
      <c r="K17" s="322"/>
      <c r="L17" s="322"/>
      <c r="M17" s="322"/>
      <c r="N17" s="322"/>
      <c r="O17" s="322"/>
      <c r="P17" s="322"/>
      <c r="Q17" s="322"/>
    </row>
    <row r="18" spans="2:17" ht="21" customHeight="1" thickTop="1">
      <c r="B18" s="640"/>
      <c r="C18" s="640"/>
      <c r="D18" s="640"/>
      <c r="E18" s="640"/>
      <c r="F18" s="640"/>
      <c r="G18" s="850"/>
      <c r="H18" s="851"/>
      <c r="K18" s="322"/>
      <c r="L18" s="322"/>
      <c r="M18" s="322"/>
      <c r="N18" s="322"/>
      <c r="O18" s="322"/>
      <c r="P18" s="322"/>
      <c r="Q18" s="322"/>
    </row>
    <row r="19" spans="2:17" ht="21" customHeight="1">
      <c r="B19" s="845" t="s">
        <v>3513</v>
      </c>
      <c r="C19" s="640"/>
      <c r="D19" s="640"/>
      <c r="E19" s="640"/>
      <c r="F19" s="640"/>
      <c r="G19" s="844"/>
      <c r="H19" s="664"/>
      <c r="K19" s="322"/>
      <c r="L19" s="322"/>
      <c r="M19" s="322"/>
      <c r="N19" s="322"/>
      <c r="O19" s="322"/>
      <c r="P19" s="322"/>
      <c r="Q19" s="322"/>
    </row>
    <row r="20" spans="2:17" ht="21" customHeight="1">
      <c r="B20" s="640"/>
      <c r="C20" s="845" t="s">
        <v>459</v>
      </c>
      <c r="D20" s="640"/>
      <c r="E20" s="640"/>
      <c r="F20" s="640"/>
      <c r="G20" s="844">
        <f>+'9-Cash Reconciliation'!I9</f>
        <v>0</v>
      </c>
      <c r="H20" s="664"/>
      <c r="I20" s="748"/>
      <c r="K20" s="322"/>
      <c r="L20" s="322"/>
      <c r="M20" s="322"/>
      <c r="N20" s="322"/>
      <c r="O20" s="322"/>
      <c r="P20" s="322"/>
      <c r="Q20" s="322"/>
    </row>
    <row r="21" spans="2:17" ht="21" customHeight="1">
      <c r="B21" s="566" t="s">
        <v>3971</v>
      </c>
      <c r="C21" s="567"/>
      <c r="D21" s="566"/>
      <c r="E21" s="566"/>
      <c r="F21" s="566"/>
      <c r="G21" s="374"/>
      <c r="H21" s="578"/>
      <c r="K21" s="322"/>
      <c r="L21" s="322"/>
      <c r="M21" s="322"/>
      <c r="N21" s="322"/>
      <c r="O21" s="322"/>
      <c r="P21" s="322"/>
      <c r="Q21" s="322"/>
    </row>
    <row r="22" spans="2:17" ht="21" customHeight="1">
      <c r="B22" s="566"/>
      <c r="C22" s="566" t="s">
        <v>459</v>
      </c>
      <c r="D22" s="566"/>
      <c r="E22" s="566"/>
      <c r="F22" s="566"/>
      <c r="G22" s="374">
        <f>+'9-Cash Reconciliation'!I14</f>
        <v>307864.43</v>
      </c>
      <c r="H22" s="578"/>
      <c r="K22" s="322"/>
      <c r="L22" s="322"/>
      <c r="M22" s="322"/>
      <c r="N22" s="322"/>
      <c r="O22" s="322"/>
      <c r="P22" s="322"/>
      <c r="Q22" s="322"/>
    </row>
    <row r="23" spans="2:17" ht="21" customHeight="1">
      <c r="B23" s="566"/>
      <c r="C23" s="566" t="s">
        <v>3972</v>
      </c>
      <c r="D23" s="566"/>
      <c r="E23" s="566"/>
      <c r="F23" s="566"/>
      <c r="G23" s="374"/>
      <c r="H23" s="578">
        <v>464</v>
      </c>
      <c r="I23" s="749"/>
      <c r="K23" s="322"/>
      <c r="L23" s="322"/>
      <c r="M23" s="322"/>
      <c r="N23" s="322"/>
      <c r="O23" s="322"/>
      <c r="P23" s="322"/>
      <c r="Q23" s="322"/>
    </row>
    <row r="24" spans="2:17" ht="21" customHeight="1">
      <c r="B24" s="566"/>
      <c r="C24" s="567" t="s">
        <v>3973</v>
      </c>
      <c r="D24" s="573"/>
      <c r="E24" s="566"/>
      <c r="F24" s="566"/>
      <c r="G24" s="374"/>
      <c r="H24" s="578">
        <v>307400.73</v>
      </c>
      <c r="I24" s="752"/>
      <c r="K24" s="322"/>
      <c r="L24" s="322"/>
      <c r="M24" s="322"/>
      <c r="N24" s="322"/>
      <c r="O24" s="322"/>
      <c r="P24" s="322"/>
      <c r="Q24" s="322"/>
    </row>
    <row r="25" spans="2:17" ht="21" customHeight="1">
      <c r="B25" s="566"/>
      <c r="C25" s="567"/>
      <c r="D25" s="566"/>
      <c r="E25" s="566"/>
      <c r="F25" s="566"/>
      <c r="G25" s="374"/>
      <c r="H25" s="578"/>
      <c r="I25" s="749"/>
      <c r="K25" s="322"/>
      <c r="L25" s="322"/>
      <c r="M25" s="322"/>
      <c r="N25" s="322"/>
      <c r="O25" s="322"/>
      <c r="P25" s="322"/>
      <c r="Q25" s="322"/>
    </row>
    <row r="26" spans="2:17" ht="21" customHeight="1">
      <c r="B26" s="566"/>
      <c r="C26" s="566"/>
      <c r="D26" s="566"/>
      <c r="E26" s="566"/>
      <c r="F26" s="566"/>
      <c r="G26" s="374"/>
      <c r="H26" s="578"/>
      <c r="I26" s="749"/>
      <c r="K26" s="322"/>
      <c r="L26" s="322"/>
      <c r="M26" s="322"/>
      <c r="N26" s="322"/>
      <c r="O26" s="322"/>
      <c r="P26" s="322"/>
      <c r="Q26" s="322"/>
    </row>
    <row r="27" spans="2:17" s="322" customFormat="1" ht="21" customHeight="1" thickBot="1">
      <c r="B27" s="566"/>
      <c r="C27" s="566"/>
      <c r="D27" s="566"/>
      <c r="E27" s="566"/>
      <c r="F27" s="566"/>
      <c r="G27" s="597"/>
      <c r="H27" s="579"/>
      <c r="I27" s="749"/>
      <c r="J27" s="747"/>
    </row>
    <row r="28" spans="2:17" s="322" customFormat="1" ht="21" customHeight="1" thickTop="1" thickBot="1">
      <c r="B28" s="847"/>
      <c r="C28" s="837" t="s">
        <v>3512</v>
      </c>
      <c r="D28" s="847"/>
      <c r="E28" s="847"/>
      <c r="F28" s="847"/>
      <c r="G28" s="848">
        <f>SUM(G20:G27)</f>
        <v>307864.43</v>
      </c>
      <c r="H28" s="849">
        <f>SUM(H20:H27)</f>
        <v>307864.73</v>
      </c>
      <c r="I28" s="749"/>
      <c r="J28" s="747"/>
    </row>
    <row r="29" spans="2:17" ht="21" customHeight="1" thickTop="1">
      <c r="B29" s="640"/>
      <c r="C29" s="640"/>
      <c r="D29" s="640"/>
      <c r="E29" s="640"/>
      <c r="F29" s="640"/>
      <c r="G29" s="850"/>
      <c r="H29" s="851"/>
      <c r="I29" s="752"/>
      <c r="K29" s="322"/>
      <c r="L29" s="322"/>
      <c r="M29" s="322"/>
      <c r="N29" s="322"/>
      <c r="O29" s="322"/>
      <c r="P29" s="322"/>
      <c r="Q29" s="322"/>
    </row>
    <row r="30" spans="2:17" ht="21" customHeight="1">
      <c r="B30" s="845" t="s">
        <v>3514</v>
      </c>
      <c r="C30" s="640"/>
      <c r="D30" s="640"/>
      <c r="E30" s="640"/>
      <c r="F30" s="640"/>
      <c r="G30" s="844"/>
      <c r="H30" s="664"/>
      <c r="I30" s="749"/>
      <c r="K30" s="322"/>
      <c r="L30" s="322"/>
      <c r="M30" s="322"/>
      <c r="N30" s="322"/>
      <c r="O30" s="322"/>
      <c r="P30" s="322"/>
      <c r="Q30" s="322"/>
    </row>
    <row r="31" spans="2:17" s="322" customFormat="1" ht="21" customHeight="1">
      <c r="B31" s="640"/>
      <c r="C31" s="845" t="s">
        <v>459</v>
      </c>
      <c r="D31" s="640"/>
      <c r="E31" s="640"/>
      <c r="F31" s="640"/>
      <c r="G31" s="844">
        <f>+'9-Cash Reconciliation'!I10</f>
        <v>6801928.8799999999</v>
      </c>
      <c r="H31" s="664"/>
      <c r="I31" s="749"/>
      <c r="J31" s="747"/>
    </row>
    <row r="32" spans="2:17" ht="21" customHeight="1">
      <c r="B32" s="566"/>
      <c r="C32" s="566" t="s">
        <v>3475</v>
      </c>
      <c r="D32" s="566"/>
      <c r="E32" s="566"/>
      <c r="F32" s="566"/>
      <c r="G32" s="374">
        <v>3000000</v>
      </c>
      <c r="H32" s="578"/>
      <c r="I32" s="749"/>
    </row>
    <row r="33" spans="2:10" ht="21" customHeight="1">
      <c r="B33" s="566"/>
      <c r="C33" s="566" t="s">
        <v>3969</v>
      </c>
      <c r="D33" s="566"/>
      <c r="E33" s="566"/>
      <c r="F33" s="566"/>
      <c r="G33" s="374"/>
      <c r="H33" s="578">
        <v>2171.4</v>
      </c>
      <c r="I33" s="749"/>
    </row>
    <row r="34" spans="2:10" ht="21" customHeight="1">
      <c r="B34" s="566"/>
      <c r="C34" s="566" t="s">
        <v>3970</v>
      </c>
      <c r="D34" s="566"/>
      <c r="E34" s="566"/>
      <c r="F34" s="566"/>
      <c r="G34" s="374"/>
      <c r="H34" s="578">
        <v>9799757.4800000004</v>
      </c>
      <c r="I34" s="750"/>
    </row>
    <row r="35" spans="2:10" ht="21" customHeight="1">
      <c r="B35" s="566"/>
      <c r="C35" s="566"/>
      <c r="D35" s="566"/>
      <c r="E35" s="566"/>
      <c r="F35" s="566"/>
      <c r="G35" s="374"/>
      <c r="H35" s="578"/>
      <c r="I35" s="749"/>
    </row>
    <row r="36" spans="2:10" ht="21" customHeight="1">
      <c r="B36" s="566"/>
      <c r="C36" s="566"/>
      <c r="D36" s="566"/>
      <c r="E36" s="566"/>
      <c r="F36" s="566"/>
      <c r="G36" s="374"/>
      <c r="H36" s="578"/>
      <c r="I36" s="749"/>
    </row>
    <row r="37" spans="2:10" ht="21" customHeight="1" thickBot="1">
      <c r="B37" s="566"/>
      <c r="C37" s="566"/>
      <c r="D37" s="566"/>
      <c r="E37" s="566"/>
      <c r="F37" s="566"/>
      <c r="G37" s="597"/>
      <c r="H37" s="579"/>
    </row>
    <row r="38" spans="2:10" s="322" customFormat="1" ht="21" customHeight="1" thickTop="1" thickBot="1">
      <c r="B38" s="847"/>
      <c r="C38" s="837" t="s">
        <v>3512</v>
      </c>
      <c r="D38" s="847"/>
      <c r="E38" s="847"/>
      <c r="F38" s="847"/>
      <c r="G38" s="848">
        <f>SUM(G31:G37)</f>
        <v>9801928.879999999</v>
      </c>
      <c r="H38" s="849">
        <f>SUM(H31:H37)</f>
        <v>9801928.8800000008</v>
      </c>
      <c r="I38" s="747"/>
      <c r="J38" s="747"/>
    </row>
    <row r="39" spans="2:10" s="322" customFormat="1" ht="21" customHeight="1" thickTop="1">
      <c r="B39" s="640"/>
      <c r="C39" s="640"/>
      <c r="D39" s="640"/>
      <c r="E39" s="640"/>
      <c r="F39" s="640"/>
      <c r="G39" s="850"/>
      <c r="H39" s="851"/>
      <c r="I39" s="747"/>
      <c r="J39" s="747"/>
    </row>
    <row r="40" spans="2:10" s="322" customFormat="1" ht="21" customHeight="1">
      <c r="B40" s="845" t="s">
        <v>3515</v>
      </c>
      <c r="C40" s="640"/>
      <c r="D40" s="640"/>
      <c r="E40" s="640"/>
      <c r="F40" s="640"/>
      <c r="G40" s="850"/>
      <c r="H40" s="851"/>
      <c r="I40" s="747"/>
      <c r="J40" s="747"/>
    </row>
    <row r="41" spans="2:10" s="322" customFormat="1" ht="21" customHeight="1">
      <c r="B41" s="640"/>
      <c r="C41" s="845" t="s">
        <v>459</v>
      </c>
      <c r="D41" s="640"/>
      <c r="E41" s="640"/>
      <c r="F41" s="640"/>
      <c r="G41" s="850">
        <f>+'9-Cash Reconciliation'!I11</f>
        <v>0</v>
      </c>
      <c r="H41" s="851"/>
      <c r="I41" s="747"/>
      <c r="J41" s="747"/>
    </row>
    <row r="42" spans="2:10" s="322" customFormat="1" ht="21" customHeight="1">
      <c r="B42" s="566"/>
      <c r="C42" s="566"/>
      <c r="D42" s="566"/>
      <c r="E42" s="566"/>
      <c r="F42" s="566"/>
      <c r="G42" s="374"/>
      <c r="H42" s="578"/>
      <c r="I42" s="747"/>
      <c r="J42" s="747"/>
    </row>
    <row r="43" spans="2:10" s="322" customFormat="1" ht="21" customHeight="1">
      <c r="B43" s="566"/>
      <c r="C43" s="566"/>
      <c r="D43" s="566"/>
      <c r="E43" s="566"/>
      <c r="F43" s="566"/>
      <c r="G43" s="374"/>
      <c r="H43" s="578"/>
      <c r="I43" s="747"/>
      <c r="J43" s="747"/>
    </row>
    <row r="44" spans="2:10" s="322" customFormat="1" ht="21" customHeight="1" thickBot="1">
      <c r="B44" s="566"/>
      <c r="C44" s="566"/>
      <c r="D44" s="566"/>
      <c r="E44" s="566"/>
      <c r="F44" s="566"/>
      <c r="G44" s="597"/>
      <c r="H44" s="579"/>
      <c r="I44" s="747"/>
      <c r="J44" s="747"/>
    </row>
    <row r="45" spans="2:10" ht="21" customHeight="1" thickTop="1" thickBot="1">
      <c r="B45" s="847"/>
      <c r="C45" s="837" t="s">
        <v>3512</v>
      </c>
      <c r="D45" s="847"/>
      <c r="E45" s="847"/>
      <c r="F45" s="847"/>
      <c r="G45" s="848">
        <f>SUM(G41:G44)</f>
        <v>0</v>
      </c>
      <c r="H45" s="849">
        <f>SUM(H41:H44)</f>
        <v>0</v>
      </c>
    </row>
    <row r="46" spans="2:10" ht="13.8" thickTop="1">
      <c r="B46" s="1511" t="s">
        <v>127</v>
      </c>
      <c r="C46" s="1511"/>
      <c r="D46" s="1511"/>
      <c r="E46" s="1511"/>
      <c r="F46" s="1511"/>
      <c r="G46" s="1511"/>
      <c r="H46" s="1511"/>
    </row>
    <row r="47" spans="2:10" ht="13.8">
      <c r="B47" s="1507" t="s">
        <v>605</v>
      </c>
      <c r="C47" s="1507"/>
      <c r="D47" s="1507"/>
      <c r="E47" s="1507"/>
      <c r="F47" s="1507"/>
      <c r="G47" s="1507"/>
      <c r="H47" s="1507"/>
    </row>
  </sheetData>
  <sheetProtection algorithmName="SHA-512" hashValue="yN01n+4BGvgMEhKf6BW7cym+aX4Nk7mKBT6G39DCaQrA/VYdUm3lIzakS7pxDf6N497lUpTijQOrwqrjNfqEOA==" saltValue="+iYaOGOojbhFUeb25E1zsA=="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9"/>
  <dimension ref="A1:M38"/>
  <sheetViews>
    <sheetView topLeftCell="A4" zoomScaleNormal="100" workbookViewId="0">
      <selection activeCell="P12" sqref="P12"/>
    </sheetView>
  </sheetViews>
  <sheetFormatPr defaultColWidth="9.109375" defaultRowHeight="13.2"/>
  <cols>
    <col min="1" max="1" width="5.6640625" style="322" customWidth="1"/>
    <col min="2" max="3" width="4.88671875" style="322" customWidth="1"/>
    <col min="4" max="4" width="30.6640625" style="322" customWidth="1"/>
    <col min="5" max="12" width="15.6640625" style="322" customWidth="1"/>
    <col min="13" max="13" width="15.33203125" style="322" customWidth="1"/>
    <col min="14" max="16384" width="9.109375" style="322"/>
  </cols>
  <sheetData>
    <row r="1" spans="1:13" ht="8.25" customHeight="1"/>
    <row r="2" spans="1:13" ht="20.399999999999999">
      <c r="B2" s="1508" t="s">
        <v>666</v>
      </c>
      <c r="C2" s="1508"/>
      <c r="D2" s="1508"/>
      <c r="E2" s="1508"/>
      <c r="F2" s="1508"/>
      <c r="G2" s="1508"/>
      <c r="H2" s="1508"/>
      <c r="I2" s="1508"/>
      <c r="J2" s="1508"/>
      <c r="K2" s="1508"/>
      <c r="L2" s="1508"/>
    </row>
    <row r="3" spans="1:13" ht="9.75" customHeight="1" thickBot="1">
      <c r="B3" s="1508"/>
      <c r="C3" s="1508"/>
      <c r="D3" s="1508"/>
      <c r="E3" s="1508"/>
      <c r="F3" s="1508"/>
      <c r="G3" s="1508"/>
      <c r="H3" s="1508"/>
      <c r="I3" s="1508"/>
      <c r="J3" s="1508"/>
      <c r="K3" s="1508"/>
      <c r="L3" s="1508"/>
    </row>
    <row r="4" spans="1:13" ht="13.5" customHeight="1" thickTop="1">
      <c r="B4" s="11"/>
      <c r="C4" s="11"/>
      <c r="D4" s="11"/>
      <c r="E4" s="1738" t="str">
        <f>'35- Cap Fund Imprv Auth'!E4:F6</f>
        <v>Balance - January 1, 2019</v>
      </c>
      <c r="F4" s="1620"/>
      <c r="G4" s="12"/>
      <c r="H4" s="12"/>
      <c r="I4" s="12"/>
      <c r="J4" s="12"/>
      <c r="K4" s="1738" t="str">
        <f>'35- Cap Fund Imprv Auth'!K4:L6</f>
        <v>Balance - December 31, 2019</v>
      </c>
      <c r="L4" s="1743"/>
    </row>
    <row r="5" spans="1:13" ht="13.5" customHeight="1">
      <c r="B5" s="1545" t="s">
        <v>656</v>
      </c>
      <c r="C5" s="1545"/>
      <c r="D5" s="1594"/>
      <c r="E5" s="1739"/>
      <c r="F5" s="1740"/>
      <c r="G5" s="760"/>
      <c r="H5" s="760"/>
      <c r="I5" s="760"/>
      <c r="J5" s="760"/>
      <c r="K5" s="1739"/>
      <c r="L5" s="1744"/>
    </row>
    <row r="6" spans="1:13" ht="13.5" customHeight="1">
      <c r="B6" s="1545" t="s">
        <v>657</v>
      </c>
      <c r="C6" s="1545"/>
      <c r="D6" s="1594"/>
      <c r="E6" s="1741"/>
      <c r="F6" s="1742"/>
      <c r="G6" s="760">
        <f>'KEY INPUTS'!D34</f>
        <v>2019</v>
      </c>
      <c r="H6" s="923" t="s">
        <v>280</v>
      </c>
      <c r="I6" s="760" t="s">
        <v>302</v>
      </c>
      <c r="J6" s="760" t="s">
        <v>661</v>
      </c>
      <c r="K6" s="1741"/>
      <c r="L6" s="1745"/>
    </row>
    <row r="7" spans="1:13" ht="13.5" customHeight="1">
      <c r="B7" s="1545" t="s">
        <v>658</v>
      </c>
      <c r="C7" s="1545"/>
      <c r="D7" s="1594"/>
      <c r="E7" s="282" t="s">
        <v>659</v>
      </c>
      <c r="F7" s="282" t="s">
        <v>660</v>
      </c>
      <c r="G7" s="282" t="s">
        <v>661</v>
      </c>
      <c r="H7" s="282"/>
      <c r="I7" s="282"/>
      <c r="J7" s="282" t="s">
        <v>558</v>
      </c>
      <c r="K7" s="282" t="s">
        <v>659</v>
      </c>
      <c r="L7" s="21" t="s">
        <v>660</v>
      </c>
    </row>
    <row r="8" spans="1:13" ht="13.5" customHeight="1" thickBot="1">
      <c r="B8" s="10"/>
      <c r="C8" s="10"/>
      <c r="D8" s="10"/>
      <c r="E8" s="14"/>
      <c r="F8" s="14"/>
      <c r="G8" s="16"/>
      <c r="H8" s="16"/>
      <c r="I8" s="14"/>
      <c r="J8" s="14"/>
      <c r="K8" s="16"/>
      <c r="L8" s="156"/>
    </row>
    <row r="9" spans="1:13" ht="21" customHeight="1" thickTop="1">
      <c r="B9" s="229" t="s">
        <v>3547</v>
      </c>
      <c r="C9" s="283"/>
      <c r="D9" s="23"/>
      <c r="E9" s="224">
        <f>+'35.9- Cap Fund Imprv Auth'!E28</f>
        <v>3115442.7100000004</v>
      </c>
      <c r="F9" s="224">
        <f>+'35.9- Cap Fund Imprv Auth'!F28</f>
        <v>4137113.69</v>
      </c>
      <c r="G9" s="224">
        <f>+'35.9- Cap Fund Imprv Auth'!G28</f>
        <v>575000</v>
      </c>
      <c r="H9" s="224">
        <f>+'35.9- Cap Fund Imprv Auth'!H28</f>
        <v>0</v>
      </c>
      <c r="I9" s="224">
        <f>+'35.9- Cap Fund Imprv Auth'!I28</f>
        <v>2770594.1100000003</v>
      </c>
      <c r="J9" s="224">
        <f>+'35.9- Cap Fund Imprv Auth'!J28</f>
        <v>229445.56999999998</v>
      </c>
      <c r="K9" s="224">
        <f>+'35.9- Cap Fund Imprv Auth'!K28</f>
        <v>1802749.0599999998</v>
      </c>
      <c r="L9" s="225">
        <f>+'35.9- Cap Fund Imprv Auth'!L28</f>
        <v>3024767.66</v>
      </c>
    </row>
    <row r="10" spans="1:13" ht="21" customHeight="1">
      <c r="B10" s="1499" t="s">
        <v>3881</v>
      </c>
      <c r="C10" s="1498" t="s">
        <v>3852</v>
      </c>
      <c r="D10" s="1498"/>
      <c r="E10" s="372"/>
      <c r="F10" s="372">
        <v>1033308</v>
      </c>
      <c r="G10" s="372"/>
      <c r="H10" s="372"/>
      <c r="I10" s="372">
        <v>184831.54000000004</v>
      </c>
      <c r="J10" s="372"/>
      <c r="K10" s="372">
        <f t="shared" ref="K10:K17" si="0">+E10+F10+G10-I10-J10-L10</f>
        <v>0</v>
      </c>
      <c r="L10" s="951">
        <f>+F10-I10</f>
        <v>848476.46</v>
      </c>
    </row>
    <row r="11" spans="1:13" ht="21" customHeight="1">
      <c r="B11" s="1499" t="s">
        <v>3882</v>
      </c>
      <c r="C11" s="1498" t="s">
        <v>3875</v>
      </c>
      <c r="D11" s="1498"/>
      <c r="E11" s="372">
        <v>6194.75</v>
      </c>
      <c r="F11" s="372">
        <v>213750</v>
      </c>
      <c r="G11" s="372"/>
      <c r="H11" s="372"/>
      <c r="I11" s="372">
        <v>96247.77</v>
      </c>
      <c r="J11" s="372"/>
      <c r="K11" s="372">
        <f t="shared" si="0"/>
        <v>0</v>
      </c>
      <c r="L11" s="951">
        <f>+E11+F11-I11</f>
        <v>123696.98</v>
      </c>
    </row>
    <row r="12" spans="1:13" ht="21" customHeight="1">
      <c r="A12" s="1576" t="s">
        <v>3636</v>
      </c>
      <c r="B12" s="1499" t="s">
        <v>3883</v>
      </c>
      <c r="C12" s="1498" t="s">
        <v>3876</v>
      </c>
      <c r="D12" s="1498"/>
      <c r="E12" s="372">
        <v>19277.849999999999</v>
      </c>
      <c r="F12" s="372"/>
      <c r="G12" s="372"/>
      <c r="H12" s="372"/>
      <c r="I12" s="372">
        <v>-53163</v>
      </c>
      <c r="J12" s="372"/>
      <c r="K12" s="372">
        <f t="shared" si="0"/>
        <v>72440.850000000006</v>
      </c>
      <c r="L12" s="951"/>
      <c r="M12" s="325"/>
    </row>
    <row r="13" spans="1:13" ht="21" customHeight="1">
      <c r="A13" s="1576"/>
      <c r="B13" s="1501" t="s">
        <v>3811</v>
      </c>
      <c r="C13" s="1500" t="s">
        <v>3877</v>
      </c>
      <c r="D13" s="1500"/>
      <c r="E13" s="372"/>
      <c r="F13" s="372"/>
      <c r="G13" s="372">
        <v>3800000</v>
      </c>
      <c r="H13" s="372"/>
      <c r="I13" s="372">
        <v>2389993.1</v>
      </c>
      <c r="J13" s="372"/>
      <c r="K13" s="372">
        <f t="shared" si="0"/>
        <v>0</v>
      </c>
      <c r="L13" s="951">
        <f>+G13-I13</f>
        <v>1410006.9</v>
      </c>
    </row>
    <row r="14" spans="1:13" ht="21" customHeight="1">
      <c r="A14" s="1576"/>
      <c r="B14" s="1501" t="s">
        <v>3812</v>
      </c>
      <c r="C14" s="1500" t="s">
        <v>3878</v>
      </c>
      <c r="D14" s="1500"/>
      <c r="E14" s="372"/>
      <c r="F14" s="372"/>
      <c r="G14" s="372">
        <v>2100000</v>
      </c>
      <c r="H14" s="372"/>
      <c r="I14" s="372">
        <v>1312341.06</v>
      </c>
      <c r="J14" s="372"/>
      <c r="K14" s="372">
        <f t="shared" si="0"/>
        <v>0</v>
      </c>
      <c r="L14" s="951">
        <f t="shared" ref="L14:L17" si="1">+G14-I14</f>
        <v>787658.94</v>
      </c>
    </row>
    <row r="15" spans="1:13" ht="21" customHeight="1">
      <c r="A15" s="1576"/>
      <c r="B15" s="1501" t="s">
        <v>3813</v>
      </c>
      <c r="C15" s="1500" t="s">
        <v>3879</v>
      </c>
      <c r="D15" s="1500"/>
      <c r="E15" s="372"/>
      <c r="F15" s="372"/>
      <c r="G15" s="372">
        <v>310000</v>
      </c>
      <c r="H15" s="372"/>
      <c r="I15" s="372">
        <v>140276.5</v>
      </c>
      <c r="J15" s="372"/>
      <c r="K15" s="372">
        <f t="shared" si="0"/>
        <v>0</v>
      </c>
      <c r="L15" s="951">
        <f t="shared" si="1"/>
        <v>169723.5</v>
      </c>
    </row>
    <row r="16" spans="1:13" ht="21" customHeight="1">
      <c r="A16" s="1576"/>
      <c r="B16" s="1501" t="s">
        <v>3815</v>
      </c>
      <c r="C16" s="1498" t="s">
        <v>3880</v>
      </c>
      <c r="D16" s="1498"/>
      <c r="E16" s="372"/>
      <c r="F16" s="372"/>
      <c r="G16" s="372">
        <v>800000</v>
      </c>
      <c r="H16" s="372"/>
      <c r="I16" s="372">
        <v>226509.22999999998</v>
      </c>
      <c r="J16" s="372"/>
      <c r="K16" s="372">
        <f t="shared" si="0"/>
        <v>0</v>
      </c>
      <c r="L16" s="951">
        <f t="shared" si="1"/>
        <v>573490.77</v>
      </c>
    </row>
    <row r="17" spans="1:13" ht="21" customHeight="1">
      <c r="A17" s="1576"/>
      <c r="B17" s="1501" t="s">
        <v>3816</v>
      </c>
      <c r="C17" s="1498" t="s">
        <v>3853</v>
      </c>
      <c r="D17" s="1498"/>
      <c r="E17" s="372"/>
      <c r="F17" s="372"/>
      <c r="G17" s="372">
        <v>910700</v>
      </c>
      <c r="H17" s="372"/>
      <c r="I17" s="372">
        <v>180450</v>
      </c>
      <c r="J17" s="372"/>
      <c r="K17" s="372">
        <f t="shared" si="0"/>
        <v>0</v>
      </c>
      <c r="L17" s="951">
        <f t="shared" si="1"/>
        <v>730250</v>
      </c>
    </row>
    <row r="18" spans="1:13" ht="21" customHeight="1">
      <c r="A18" s="1576"/>
      <c r="B18" s="1719"/>
      <c r="C18" s="1719"/>
      <c r="D18" s="1720"/>
      <c r="E18" s="372"/>
      <c r="F18" s="372"/>
      <c r="G18" s="372"/>
      <c r="H18" s="372"/>
      <c r="I18" s="372"/>
      <c r="J18" s="372"/>
      <c r="K18" s="372"/>
      <c r="L18" s="951"/>
    </row>
    <row r="19" spans="1:13" ht="21" customHeight="1">
      <c r="A19" s="1576"/>
      <c r="B19" s="1719"/>
      <c r="C19" s="1719"/>
      <c r="D19" s="1720"/>
      <c r="E19" s="372"/>
      <c r="F19" s="372"/>
      <c r="G19" s="372"/>
      <c r="H19" s="372"/>
      <c r="I19" s="372"/>
      <c r="J19" s="372"/>
      <c r="K19" s="372"/>
      <c r="L19" s="951"/>
    </row>
    <row r="20" spans="1:13" ht="21" customHeight="1">
      <c r="A20" s="1576"/>
      <c r="B20" s="1719"/>
      <c r="C20" s="1719"/>
      <c r="D20" s="1720"/>
      <c r="E20" s="372"/>
      <c r="F20" s="372"/>
      <c r="G20" s="372"/>
      <c r="H20" s="372"/>
      <c r="I20" s="372"/>
      <c r="J20" s="372"/>
      <c r="K20" s="372"/>
      <c r="L20" s="951"/>
    </row>
    <row r="21" spans="1:13" ht="21" customHeight="1">
      <c r="A21" s="1576"/>
      <c r="B21" s="1719"/>
      <c r="C21" s="1719"/>
      <c r="D21" s="1720"/>
      <c r="E21" s="372"/>
      <c r="F21" s="372"/>
      <c r="G21" s="372"/>
      <c r="H21" s="372"/>
      <c r="I21" s="372"/>
      <c r="J21" s="372"/>
      <c r="K21" s="372"/>
      <c r="L21" s="951"/>
    </row>
    <row r="22" spans="1:13" ht="21" customHeight="1">
      <c r="A22" s="1576"/>
      <c r="B22" s="1719"/>
      <c r="C22" s="1719"/>
      <c r="D22" s="1720"/>
      <c r="E22" s="372"/>
      <c r="F22" s="372"/>
      <c r="G22" s="372"/>
      <c r="H22" s="372"/>
      <c r="I22" s="372"/>
      <c r="J22" s="372"/>
      <c r="K22" s="372"/>
      <c r="L22" s="951"/>
    </row>
    <row r="23" spans="1:13" ht="21" customHeight="1">
      <c r="A23" s="1576"/>
      <c r="B23" s="1719"/>
      <c r="C23" s="1719"/>
      <c r="D23" s="1720"/>
      <c r="E23" s="372"/>
      <c r="F23" s="372"/>
      <c r="G23" s="372"/>
      <c r="H23" s="372"/>
      <c r="I23" s="372"/>
      <c r="J23" s="372"/>
      <c r="K23" s="372"/>
      <c r="L23" s="951"/>
    </row>
    <row r="24" spans="1:13" ht="21" customHeight="1">
      <c r="A24" s="1576"/>
      <c r="B24" s="1719"/>
      <c r="C24" s="1719"/>
      <c r="D24" s="1720"/>
      <c r="E24" s="372"/>
      <c r="F24" s="372"/>
      <c r="G24" s="372"/>
      <c r="H24" s="372"/>
      <c r="I24" s="372"/>
      <c r="J24" s="372"/>
      <c r="K24" s="372"/>
      <c r="L24" s="951"/>
      <c r="M24" s="325"/>
    </row>
    <row r="25" spans="1:13" ht="21" customHeight="1">
      <c r="B25" s="1719"/>
      <c r="C25" s="1719"/>
      <c r="D25" s="1720"/>
      <c r="E25" s="372"/>
      <c r="F25" s="372"/>
      <c r="G25" s="372"/>
      <c r="H25" s="372"/>
      <c r="I25" s="372"/>
      <c r="J25" s="372"/>
      <c r="K25" s="372"/>
      <c r="L25" s="951"/>
    </row>
    <row r="26" spans="1:13" ht="21" customHeight="1">
      <c r="B26" s="1719"/>
      <c r="C26" s="1719"/>
      <c r="D26" s="1720"/>
      <c r="E26" s="372"/>
      <c r="F26" s="372"/>
      <c r="G26" s="372"/>
      <c r="H26" s="372"/>
      <c r="I26" s="372"/>
      <c r="J26" s="372"/>
      <c r="K26" s="372"/>
      <c r="L26" s="951"/>
    </row>
    <row r="27" spans="1:13" ht="21" customHeight="1" thickBot="1">
      <c r="B27" s="147"/>
      <c r="C27" s="323"/>
      <c r="D27" s="75"/>
      <c r="E27" s="218"/>
      <c r="F27" s="218"/>
      <c r="G27" s="218"/>
      <c r="H27" s="218"/>
      <c r="I27" s="218"/>
      <c r="J27" s="218"/>
      <c r="K27" s="218"/>
      <c r="L27" s="226"/>
    </row>
    <row r="28" spans="1:13" ht="21" customHeight="1" thickTop="1" thickBot="1">
      <c r="B28" s="148"/>
      <c r="C28" s="27"/>
      <c r="D28" s="797" t="s">
        <v>3637</v>
      </c>
      <c r="E28" s="219">
        <f t="shared" ref="E28:K28" si="2">SUM(E9:E27)</f>
        <v>3140915.3100000005</v>
      </c>
      <c r="F28" s="219">
        <f>SUM(F9:F27)</f>
        <v>5384171.6899999995</v>
      </c>
      <c r="G28" s="219">
        <f t="shared" si="2"/>
        <v>8495700</v>
      </c>
      <c r="H28" s="219">
        <f t="shared" si="2"/>
        <v>0</v>
      </c>
      <c r="I28" s="219">
        <f t="shared" si="2"/>
        <v>7248080.3100000005</v>
      </c>
      <c r="J28" s="219">
        <f t="shared" si="2"/>
        <v>229445.56999999998</v>
      </c>
      <c r="K28" s="219">
        <f t="shared" si="2"/>
        <v>1875189.91</v>
      </c>
      <c r="L28" s="227">
        <f>SUM(L9:L27)</f>
        <v>7668071.209999999</v>
      </c>
    </row>
    <row r="29" spans="1:13" ht="13.5" customHeight="1" thickTop="1">
      <c r="B29" s="154"/>
      <c r="C29" s="44" t="s">
        <v>663</v>
      </c>
      <c r="D29" s="152"/>
      <c r="E29" s="286"/>
      <c r="F29" s="286"/>
      <c r="G29" s="286"/>
      <c r="H29" s="286"/>
      <c r="I29" s="286"/>
      <c r="J29" s="286"/>
      <c r="K29" s="757"/>
      <c r="L29" s="757"/>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17">
    <mergeCell ref="B7:D7"/>
    <mergeCell ref="A12:A24"/>
    <mergeCell ref="B2:L2"/>
    <mergeCell ref="B3:L3"/>
    <mergeCell ref="E4:F6"/>
    <mergeCell ref="K4:L6"/>
    <mergeCell ref="B5:D5"/>
    <mergeCell ref="B6:D6"/>
    <mergeCell ref="B23:D23"/>
    <mergeCell ref="B24:D24"/>
    <mergeCell ref="B25:D25"/>
    <mergeCell ref="B26:D26"/>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0"/>
  <dimension ref="B1:S54"/>
  <sheetViews>
    <sheetView topLeftCell="A10" workbookViewId="0">
      <selection activeCell="B29" sqref="B29"/>
    </sheetView>
  </sheetViews>
  <sheetFormatPr defaultRowHeight="13.2"/>
  <cols>
    <col min="1" max="4" width="4.6640625" customWidth="1"/>
    <col min="7" max="7" width="14.44140625" customWidth="1"/>
    <col min="8" max="8" width="15" customWidth="1"/>
    <col min="9" max="10" width="16.6640625" customWidth="1"/>
    <col min="11" max="11" width="11.10937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8">
      <c r="B3" s="1548" t="s">
        <v>667</v>
      </c>
      <c r="C3" s="1548"/>
      <c r="D3" s="1548"/>
      <c r="E3" s="1548"/>
      <c r="F3" s="1548"/>
      <c r="G3" s="1548"/>
      <c r="H3" s="1548"/>
      <c r="I3" s="1548"/>
      <c r="J3" s="1548"/>
    </row>
    <row r="4" spans="2:19">
      <c r="B4" s="322"/>
      <c r="C4" s="322"/>
      <c r="D4" s="322"/>
      <c r="E4" s="322"/>
      <c r="F4" s="322"/>
      <c r="G4" s="322"/>
      <c r="H4" s="322"/>
      <c r="I4" s="322"/>
      <c r="J4" s="322"/>
    </row>
    <row r="5" spans="2:19" ht="15.6">
      <c r="B5" s="1509" t="s">
        <v>668</v>
      </c>
      <c r="C5" s="1509"/>
      <c r="D5" s="1509"/>
      <c r="E5" s="1509"/>
      <c r="F5" s="1509"/>
      <c r="G5" s="1509"/>
      <c r="H5" s="1509"/>
      <c r="I5" s="1509"/>
      <c r="J5" s="1509"/>
    </row>
    <row r="6" spans="2:19" ht="13.8" thickBot="1">
      <c r="B6" s="322"/>
      <c r="C6" s="322"/>
      <c r="D6" s="322"/>
      <c r="E6" s="322"/>
      <c r="F6" s="322"/>
      <c r="G6" s="322"/>
      <c r="H6" s="322"/>
      <c r="I6" s="322"/>
      <c r="J6" s="322"/>
    </row>
    <row r="7" spans="2:19" ht="28.5" customHeight="1" thickTop="1" thickBot="1">
      <c r="B7" s="61"/>
      <c r="C7" s="61"/>
      <c r="D7" s="61"/>
      <c r="E7" s="61"/>
      <c r="F7" s="61"/>
      <c r="G7" s="61"/>
      <c r="H7" s="61"/>
      <c r="I7" s="4" t="s">
        <v>125</v>
      </c>
      <c r="J7" s="994" t="s">
        <v>126</v>
      </c>
    </row>
    <row r="8" spans="2:19" ht="21" customHeight="1" thickTop="1">
      <c r="B8" s="283" t="str">
        <f>'KEY INPUTS'!D25</f>
        <v>Balance - January 1, 2019</v>
      </c>
      <c r="C8" s="283"/>
      <c r="D8" s="283"/>
      <c r="E8" s="283"/>
      <c r="F8" s="283"/>
      <c r="G8" s="283"/>
      <c r="H8" s="50" t="s">
        <v>230</v>
      </c>
      <c r="I8" s="145" t="s">
        <v>788</v>
      </c>
      <c r="J8" s="927">
        <v>481203.26</v>
      </c>
      <c r="K8" s="325"/>
    </row>
    <row r="9" spans="2:19" ht="21" customHeight="1">
      <c r="B9" s="323" t="str">
        <f>"Received from "&amp;TEXT('KEY INPUTS'!D34,"0")&amp;" Budget Appropriation *"</f>
        <v>Received from 2019 Budget Appropriation *</v>
      </c>
      <c r="C9" s="323"/>
      <c r="D9" s="323"/>
      <c r="E9" s="323"/>
      <c r="F9" s="323"/>
      <c r="G9" s="323"/>
      <c r="H9" s="49" t="s">
        <v>231</v>
      </c>
      <c r="I9" s="146" t="s">
        <v>788</v>
      </c>
      <c r="J9" s="580">
        <v>300000</v>
      </c>
    </row>
    <row r="10" spans="2:19" ht="21" customHeight="1">
      <c r="B10" s="566"/>
      <c r="C10" s="566"/>
      <c r="D10" s="566"/>
      <c r="E10" s="566"/>
      <c r="F10" s="566"/>
      <c r="G10" s="566"/>
      <c r="H10" s="566"/>
      <c r="I10" s="146" t="s">
        <v>788</v>
      </c>
      <c r="J10" s="578"/>
    </row>
    <row r="11" spans="2:19" ht="11.25" customHeight="1">
      <c r="B11" s="32" t="s">
        <v>224</v>
      </c>
      <c r="C11" s="7"/>
      <c r="D11" s="7"/>
      <c r="E11" s="7"/>
      <c r="F11" s="7"/>
      <c r="G11" s="7"/>
      <c r="H11" s="83"/>
      <c r="I11" s="1750" t="s">
        <v>788</v>
      </c>
      <c r="J11" s="1748"/>
      <c r="M11" s="322"/>
      <c r="N11" s="322"/>
      <c r="O11" s="322"/>
      <c r="P11" s="322"/>
      <c r="Q11" s="322"/>
      <c r="R11" s="322"/>
      <c r="S11" s="322"/>
    </row>
    <row r="12" spans="2:19" ht="12.75" customHeight="1">
      <c r="B12" s="284"/>
      <c r="C12" s="33" t="s">
        <v>225</v>
      </c>
      <c r="D12" s="284"/>
      <c r="E12" s="284"/>
      <c r="F12" s="284"/>
      <c r="G12" s="284"/>
      <c r="H12" s="53" t="s">
        <v>232</v>
      </c>
      <c r="I12" s="1751"/>
      <c r="J12" s="1749"/>
      <c r="M12" s="322"/>
      <c r="N12" s="322"/>
      <c r="O12" s="322"/>
      <c r="P12" s="322"/>
      <c r="Q12" s="322"/>
      <c r="R12" s="322"/>
      <c r="S12" s="322"/>
    </row>
    <row r="13" spans="2:19" ht="21" customHeight="1">
      <c r="B13" s="375"/>
      <c r="C13" s="1102"/>
      <c r="D13" s="375"/>
      <c r="E13" s="375"/>
      <c r="F13" s="375"/>
      <c r="G13" s="375"/>
      <c r="H13" s="375"/>
      <c r="I13" s="974"/>
      <c r="J13" s="580"/>
      <c r="M13" s="377"/>
      <c r="N13" s="322"/>
      <c r="O13" s="322"/>
      <c r="P13" s="322"/>
      <c r="Q13" s="322"/>
      <c r="R13" s="322"/>
      <c r="S13" s="322"/>
    </row>
    <row r="14" spans="2:19" ht="21" customHeight="1">
      <c r="B14" s="323" t="s">
        <v>226</v>
      </c>
      <c r="C14" s="323"/>
      <c r="D14" s="323"/>
      <c r="E14" s="323"/>
      <c r="F14" s="323"/>
      <c r="G14" s="323"/>
      <c r="H14" s="323"/>
      <c r="I14" s="146" t="s">
        <v>788</v>
      </c>
      <c r="J14" s="127" t="s">
        <v>788</v>
      </c>
      <c r="M14" s="322"/>
      <c r="N14" s="322"/>
      <c r="O14" s="322"/>
      <c r="P14" s="322"/>
      <c r="Q14" s="322"/>
      <c r="R14" s="322"/>
      <c r="S14" s="322"/>
    </row>
    <row r="15" spans="2:19" ht="21" customHeight="1">
      <c r="B15" s="566"/>
      <c r="C15" s="566"/>
      <c r="D15" s="566"/>
      <c r="E15" s="566"/>
      <c r="F15" s="566"/>
      <c r="G15" s="566"/>
      <c r="H15" s="566"/>
      <c r="I15" s="374"/>
      <c r="J15" s="127" t="s">
        <v>788</v>
      </c>
      <c r="M15" s="322"/>
      <c r="N15" s="322"/>
      <c r="O15" s="322"/>
      <c r="P15" s="322"/>
      <c r="Q15" s="322"/>
      <c r="R15" s="322"/>
      <c r="S15" s="322"/>
    </row>
    <row r="16" spans="2:19" ht="21" customHeight="1">
      <c r="B16" s="566"/>
      <c r="C16" s="566"/>
      <c r="D16" s="566"/>
      <c r="E16" s="566"/>
      <c r="F16" s="566"/>
      <c r="G16" s="566"/>
      <c r="H16" s="566"/>
      <c r="I16" s="374"/>
      <c r="J16" s="127" t="s">
        <v>788</v>
      </c>
      <c r="M16" s="322"/>
      <c r="N16" s="322"/>
      <c r="O16" s="322"/>
      <c r="P16" s="322"/>
      <c r="Q16" s="322"/>
      <c r="R16" s="322"/>
      <c r="S16" s="322"/>
    </row>
    <row r="17" spans="2:19" ht="21" customHeight="1">
      <c r="B17" s="566"/>
      <c r="C17" s="566"/>
      <c r="D17" s="566"/>
      <c r="E17" s="566"/>
      <c r="F17" s="566"/>
      <c r="G17" s="566"/>
      <c r="H17" s="566"/>
      <c r="I17" s="374"/>
      <c r="J17" s="127" t="s">
        <v>788</v>
      </c>
      <c r="M17" s="322"/>
      <c r="N17" s="322"/>
      <c r="O17" s="322"/>
      <c r="P17" s="322"/>
      <c r="Q17" s="322"/>
      <c r="R17" s="322"/>
      <c r="S17" s="322"/>
    </row>
    <row r="18" spans="2:19" ht="21" customHeight="1">
      <c r="B18" s="566"/>
      <c r="C18" s="566"/>
      <c r="D18" s="566"/>
      <c r="E18" s="566"/>
      <c r="F18" s="566"/>
      <c r="G18" s="566"/>
      <c r="H18" s="566"/>
      <c r="I18" s="374"/>
      <c r="J18" s="127" t="s">
        <v>788</v>
      </c>
      <c r="M18" s="322"/>
      <c r="N18" s="322"/>
      <c r="O18" s="322"/>
      <c r="P18" s="322"/>
      <c r="Q18" s="322"/>
      <c r="R18" s="322"/>
      <c r="S18" s="322"/>
    </row>
    <row r="19" spans="2:19" ht="21" customHeight="1">
      <c r="B19" s="566"/>
      <c r="C19" s="566"/>
      <c r="D19" s="566"/>
      <c r="E19" s="566"/>
      <c r="F19" s="566"/>
      <c r="G19" s="566"/>
      <c r="H19" s="566"/>
      <c r="I19" s="374"/>
      <c r="J19" s="127" t="s">
        <v>788</v>
      </c>
      <c r="M19" s="322"/>
      <c r="N19" s="322"/>
      <c r="O19" s="322"/>
      <c r="P19" s="322"/>
      <c r="Q19" s="322"/>
      <c r="R19" s="322"/>
      <c r="S19" s="322"/>
    </row>
    <row r="20" spans="2:19" ht="21" customHeight="1">
      <c r="B20" s="566"/>
      <c r="C20" s="566"/>
      <c r="D20" s="566"/>
      <c r="E20" s="566"/>
      <c r="F20" s="566"/>
      <c r="G20" s="566"/>
      <c r="H20" s="566"/>
      <c r="I20" s="374"/>
      <c r="J20" s="127" t="s">
        <v>788</v>
      </c>
      <c r="M20" s="322"/>
      <c r="N20" s="322"/>
      <c r="O20" s="322"/>
      <c r="P20" s="322"/>
      <c r="Q20" s="322"/>
      <c r="R20" s="322"/>
      <c r="S20" s="322"/>
    </row>
    <row r="21" spans="2:19" ht="21" customHeight="1">
      <c r="B21" s="566"/>
      <c r="C21" s="566"/>
      <c r="D21" s="566"/>
      <c r="E21" s="566"/>
      <c r="F21" s="566"/>
      <c r="G21" s="566"/>
      <c r="H21" s="566"/>
      <c r="I21" s="374"/>
      <c r="J21" s="127" t="s">
        <v>788</v>
      </c>
      <c r="M21" s="322"/>
      <c r="N21" s="322"/>
      <c r="O21" s="322"/>
      <c r="P21" s="322"/>
      <c r="Q21" s="322"/>
      <c r="R21" s="322"/>
      <c r="S21" s="322"/>
    </row>
    <row r="22" spans="2:19" ht="21" customHeight="1">
      <c r="B22" s="566"/>
      <c r="C22" s="566"/>
      <c r="D22" s="566"/>
      <c r="E22" s="566"/>
      <c r="F22" s="566"/>
      <c r="G22" s="566"/>
      <c r="H22" s="566"/>
      <c r="I22" s="374"/>
      <c r="J22" s="127" t="s">
        <v>788</v>
      </c>
      <c r="M22" s="322"/>
      <c r="N22" s="322"/>
      <c r="O22" s="322"/>
      <c r="P22" s="322"/>
      <c r="Q22" s="322"/>
      <c r="R22" s="322"/>
      <c r="S22" s="322"/>
    </row>
    <row r="23" spans="2:19" ht="21" customHeight="1">
      <c r="B23" s="566"/>
      <c r="C23" s="566"/>
      <c r="D23" s="566"/>
      <c r="E23" s="566"/>
      <c r="F23" s="566"/>
      <c r="G23" s="566"/>
      <c r="H23" s="566"/>
      <c r="I23" s="374"/>
      <c r="J23" s="127" t="s">
        <v>788</v>
      </c>
      <c r="M23" s="322"/>
      <c r="N23" s="322"/>
      <c r="O23" s="322"/>
      <c r="P23" s="322"/>
      <c r="Q23" s="322"/>
      <c r="R23" s="322"/>
      <c r="S23" s="322"/>
    </row>
    <row r="24" spans="2:19" ht="21" customHeight="1">
      <c r="B24" s="566"/>
      <c r="C24" s="566"/>
      <c r="D24" s="566"/>
      <c r="E24" s="566"/>
      <c r="F24" s="566"/>
      <c r="G24" s="566"/>
      <c r="H24" s="566"/>
      <c r="I24" s="374"/>
      <c r="J24" s="127" t="s">
        <v>788</v>
      </c>
      <c r="M24" s="322"/>
      <c r="N24" s="322"/>
      <c r="O24" s="322"/>
      <c r="P24" s="322"/>
      <c r="Q24" s="322"/>
      <c r="R24" s="322"/>
      <c r="S24" s="322"/>
    </row>
    <row r="25" spans="2:19" ht="21" customHeight="1">
      <c r="B25" s="566"/>
      <c r="C25" s="566"/>
      <c r="D25" s="566"/>
      <c r="E25" s="566"/>
      <c r="F25" s="566"/>
      <c r="G25" s="566"/>
      <c r="H25" s="566"/>
      <c r="I25" s="374"/>
      <c r="J25" s="127" t="s">
        <v>788</v>
      </c>
      <c r="M25" s="322"/>
      <c r="N25" s="322"/>
      <c r="O25" s="322"/>
      <c r="P25" s="322"/>
      <c r="Q25" s="322"/>
      <c r="R25" s="322"/>
      <c r="S25" s="322"/>
    </row>
    <row r="26" spans="2:19" ht="21" customHeight="1">
      <c r="B26" s="566"/>
      <c r="C26" s="566"/>
      <c r="D26" s="566"/>
      <c r="E26" s="566"/>
      <c r="F26" s="566"/>
      <c r="G26" s="566"/>
      <c r="H26" s="566"/>
      <c r="I26" s="374"/>
      <c r="J26" s="127" t="s">
        <v>788</v>
      </c>
      <c r="M26" s="322"/>
      <c r="N26" s="322"/>
      <c r="O26" s="322"/>
      <c r="P26" s="322"/>
      <c r="Q26" s="322"/>
      <c r="R26" s="322"/>
      <c r="S26" s="322"/>
    </row>
    <row r="27" spans="2:19" ht="21" customHeight="1">
      <c r="B27" s="566"/>
      <c r="C27" s="566"/>
      <c r="D27" s="566"/>
      <c r="E27" s="566"/>
      <c r="F27" s="566"/>
      <c r="G27" s="566"/>
      <c r="H27" s="566"/>
      <c r="I27" s="374"/>
      <c r="J27" s="127" t="s">
        <v>788</v>
      </c>
      <c r="M27" s="322"/>
      <c r="N27" s="322"/>
      <c r="O27" s="322"/>
      <c r="P27" s="322"/>
      <c r="Q27" s="322"/>
      <c r="R27" s="322"/>
      <c r="S27" s="322"/>
    </row>
    <row r="28" spans="2:19" ht="21" customHeight="1">
      <c r="B28" s="566" t="s">
        <v>229</v>
      </c>
      <c r="C28" s="566"/>
      <c r="D28" s="566"/>
      <c r="E28" s="566"/>
      <c r="F28" s="566"/>
      <c r="G28" s="566"/>
      <c r="H28" s="566" t="s">
        <v>4036</v>
      </c>
      <c r="I28" s="374">
        <v>206700</v>
      </c>
      <c r="J28" s="127" t="s">
        <v>788</v>
      </c>
    </row>
    <row r="29" spans="2:19" ht="21" customHeight="1">
      <c r="B29" s="323" t="s">
        <v>229</v>
      </c>
      <c r="C29" s="323"/>
      <c r="D29" s="323"/>
      <c r="E29" s="323"/>
      <c r="F29" s="323"/>
      <c r="G29" s="323"/>
      <c r="H29" s="49" t="s">
        <v>228</v>
      </c>
      <c r="I29" s="247"/>
      <c r="J29" s="127" t="s">
        <v>788</v>
      </c>
    </row>
    <row r="30" spans="2:19" ht="21" customHeight="1">
      <c r="B30" s="323"/>
      <c r="C30" s="323"/>
      <c r="D30" s="323"/>
      <c r="E30" s="323"/>
      <c r="F30" s="323"/>
      <c r="G30" s="323"/>
      <c r="H30" s="323"/>
      <c r="I30" s="68"/>
      <c r="J30" s="127" t="s">
        <v>788</v>
      </c>
    </row>
    <row r="31" spans="2:19" ht="21" customHeight="1" thickBot="1">
      <c r="B31" s="323" t="str">
        <f>'KEY INPUTS'!D26</f>
        <v>Balance - December 31, 2019</v>
      </c>
      <c r="C31" s="323"/>
      <c r="D31" s="323"/>
      <c r="E31" s="323"/>
      <c r="F31" s="323"/>
      <c r="G31" s="323"/>
      <c r="H31" s="49" t="s">
        <v>227</v>
      </c>
      <c r="I31" s="70">
        <f>+SUM(J8:J13)-SUM(I13:I30)</f>
        <v>574503.26</v>
      </c>
      <c r="J31" s="159" t="s">
        <v>788</v>
      </c>
      <c r="K31" s="228"/>
    </row>
    <row r="32" spans="2:19" ht="21" customHeight="1" thickTop="1" thickBot="1">
      <c r="B32" s="322"/>
      <c r="C32" s="322"/>
      <c r="D32" s="322"/>
      <c r="E32" s="322"/>
      <c r="F32" s="322"/>
      <c r="G32" s="322"/>
      <c r="H32" s="322"/>
      <c r="I32" s="71">
        <f>SUM(I8:I31)</f>
        <v>781203.26</v>
      </c>
      <c r="J32" s="72">
        <f>SUM(J8:J31)</f>
        <v>781203.26</v>
      </c>
      <c r="L32" s="228"/>
    </row>
    <row r="33" spans="2:11" ht="13.8"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3.8">
      <c r="B54" s="1507" t="s">
        <v>223</v>
      </c>
      <c r="C54" s="1507"/>
      <c r="D54" s="1507"/>
      <c r="E54" s="1507"/>
      <c r="F54" s="1507"/>
      <c r="G54" s="1507"/>
      <c r="H54" s="1507"/>
      <c r="I54" s="1507"/>
      <c r="J54" s="1507"/>
    </row>
  </sheetData>
  <sheetProtection algorithmName="SHA-512" hashValue="r9krLXdD/B+SBhZVaGKI/PKZlVopI6xpTFOCUmFAvp8dBCVpp4IQbgTp/Lv4XF9bst7+Ab+cW8fG3P4lYjsV0w==" saltValue="e1fSn3Cr7ow6Jj33boTasQ==" spinCount="100000"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1"/>
  <dimension ref="B3:T55"/>
  <sheetViews>
    <sheetView topLeftCell="A19" workbookViewId="0">
      <selection activeCell="F34" sqref="F34"/>
    </sheetView>
  </sheetViews>
  <sheetFormatPr defaultRowHeight="13.2"/>
  <cols>
    <col min="1" max="1" width="4.6640625" customWidth="1"/>
    <col min="2" max="2" width="6.6640625" customWidth="1"/>
    <col min="3" max="4" width="4.6640625" customWidth="1"/>
    <col min="6" max="6" width="6.6640625" customWidth="1"/>
    <col min="7" max="10" width="16.6640625" customWidth="1"/>
  </cols>
  <sheetData>
    <row r="3" spans="2:20" ht="22.8">
      <c r="B3" s="1548" t="s">
        <v>667</v>
      </c>
      <c r="C3" s="1548"/>
      <c r="D3" s="1548"/>
      <c r="E3" s="1548"/>
      <c r="F3" s="1548"/>
      <c r="G3" s="1548"/>
      <c r="H3" s="1548"/>
      <c r="I3" s="1548"/>
      <c r="J3" s="1548"/>
    </row>
    <row r="5" spans="2:20" ht="15.6">
      <c r="B5" s="1509" t="s">
        <v>234</v>
      </c>
      <c r="C5" s="1509"/>
      <c r="D5" s="1509"/>
      <c r="E5" s="1509"/>
      <c r="F5" s="1509"/>
      <c r="G5" s="1509"/>
      <c r="H5" s="1509"/>
      <c r="I5" s="1509"/>
      <c r="J5" s="1509"/>
    </row>
    <row r="6" spans="2:20" ht="13.8" thickBot="1"/>
    <row r="7" spans="2:20" ht="28.5" customHeight="1" thickTop="1" thickBot="1">
      <c r="B7" s="1046"/>
      <c r="C7" s="1046"/>
      <c r="D7" s="1046"/>
      <c r="E7" s="1046"/>
      <c r="F7" s="1046"/>
      <c r="G7" s="1046"/>
      <c r="H7" s="1046"/>
      <c r="I7" s="969"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4" t="s">
        <v>235</v>
      </c>
      <c r="I8" s="1090" t="s">
        <v>788</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5" t="s">
        <v>236</v>
      </c>
      <c r="I9" s="975" t="s">
        <v>788</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5" t="s">
        <v>237</v>
      </c>
      <c r="I10" s="975" t="s">
        <v>788</v>
      </c>
      <c r="J10" s="631"/>
      <c r="N10" s="322"/>
      <c r="O10" s="322"/>
      <c r="P10" s="322"/>
      <c r="Q10" s="322"/>
      <c r="R10" s="322"/>
      <c r="S10" s="322"/>
      <c r="T10" s="322"/>
    </row>
    <row r="11" spans="2:20" ht="21" customHeight="1">
      <c r="B11" s="566"/>
      <c r="C11" s="566"/>
      <c r="D11" s="566"/>
      <c r="E11" s="566"/>
      <c r="F11" s="566"/>
      <c r="G11" s="566"/>
      <c r="H11" s="823"/>
      <c r="I11" s="1103"/>
      <c r="J11" s="376"/>
      <c r="N11" s="322"/>
      <c r="O11" s="322"/>
      <c r="P11" s="322"/>
      <c r="Q11" s="322"/>
      <c r="R11" s="322"/>
      <c r="S11" s="322"/>
      <c r="T11" s="322"/>
    </row>
    <row r="12" spans="2:20" ht="21" customHeight="1">
      <c r="B12" s="566"/>
      <c r="C12" s="566"/>
      <c r="D12" s="566"/>
      <c r="E12" s="566"/>
      <c r="F12" s="566"/>
      <c r="G12" s="566"/>
      <c r="H12" s="566"/>
      <c r="I12" s="601"/>
      <c r="J12" s="979" t="s">
        <v>788</v>
      </c>
      <c r="N12" s="322"/>
      <c r="O12" s="322"/>
      <c r="P12" s="322"/>
      <c r="Q12" s="322"/>
      <c r="R12" s="322"/>
      <c r="S12" s="322"/>
      <c r="T12" s="322"/>
    </row>
    <row r="13" spans="2:20" ht="21" customHeight="1">
      <c r="B13" s="383" t="s">
        <v>229</v>
      </c>
      <c r="C13" s="383"/>
      <c r="D13" s="383"/>
      <c r="E13" s="383"/>
      <c r="F13" s="383"/>
      <c r="G13" s="383"/>
      <c r="H13" s="1105" t="s">
        <v>238</v>
      </c>
      <c r="I13" s="601"/>
      <c r="J13" s="979" t="s">
        <v>788</v>
      </c>
      <c r="N13" s="322"/>
      <c r="O13" s="322"/>
      <c r="P13" s="322"/>
      <c r="Q13" s="322"/>
      <c r="R13" s="322"/>
      <c r="S13" s="322"/>
      <c r="T13" s="322"/>
    </row>
    <row r="14" spans="2:20" ht="21" customHeight="1">
      <c r="B14" s="566"/>
      <c r="C14" s="566"/>
      <c r="D14" s="566"/>
      <c r="E14" s="566"/>
      <c r="F14" s="566"/>
      <c r="G14" s="566"/>
      <c r="H14" s="566"/>
      <c r="I14" s="601"/>
      <c r="J14" s="979" t="s">
        <v>788</v>
      </c>
      <c r="N14" s="322"/>
      <c r="O14" s="322"/>
      <c r="P14" s="322"/>
      <c r="Q14" s="322"/>
      <c r="R14" s="322"/>
      <c r="S14" s="322"/>
      <c r="T14" s="322"/>
    </row>
    <row r="15" spans="2:20" ht="21" customHeight="1" thickBot="1">
      <c r="B15" s="383" t="str">
        <f>'KEY INPUTS'!D26</f>
        <v>Balance - December 31, 2019</v>
      </c>
      <c r="C15" s="383"/>
      <c r="D15" s="383"/>
      <c r="E15" s="383"/>
      <c r="F15" s="383"/>
      <c r="G15" s="383"/>
      <c r="H15" s="1105" t="s">
        <v>239</v>
      </c>
      <c r="I15" s="1108">
        <f>+SUM(J8:J11)-SUM(I11:I14)</f>
        <v>0</v>
      </c>
      <c r="J15" s="1106" t="s">
        <v>788</v>
      </c>
      <c r="N15" s="322"/>
      <c r="O15" s="322"/>
      <c r="P15" s="322"/>
      <c r="Q15" s="322"/>
      <c r="R15" s="322"/>
      <c r="S15" s="322"/>
      <c r="T15" s="322"/>
    </row>
    <row r="16" spans="2:20" ht="21" customHeight="1" thickTop="1" thickBot="1">
      <c r="I16" s="1063">
        <f>SUM(I8:I15)</f>
        <v>0</v>
      </c>
      <c r="J16" s="1109">
        <f>SUM(J8:J15)</f>
        <v>0</v>
      </c>
      <c r="N16" s="322"/>
      <c r="O16" s="322"/>
      <c r="P16" s="322"/>
      <c r="Q16" s="322"/>
      <c r="R16" s="322"/>
      <c r="S16" s="322"/>
      <c r="T16" s="322"/>
    </row>
    <row r="17" spans="2:20" ht="13.8"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7.399999999999999">
      <c r="B27" s="1559" t="str">
        <f>"CAPITAL  IMPROVEMENTS  AUTHORIZED  IN  "&amp;TEXT('KEY INPUTS'!D34,"0")</f>
        <v>CAPITAL  IMPROVEMENTS  AUTHORIZED  IN  2019</v>
      </c>
      <c r="C27" s="1559"/>
      <c r="D27" s="1559"/>
      <c r="E27" s="1559"/>
      <c r="F27" s="1559"/>
      <c r="G27" s="1559"/>
      <c r="H27" s="1559"/>
      <c r="I27" s="1559"/>
      <c r="J27" s="1559"/>
    </row>
    <row r="28" spans="2:20" ht="17.399999999999999">
      <c r="B28" s="1559" t="s">
        <v>261</v>
      </c>
      <c r="C28" s="1559"/>
      <c r="D28" s="1559"/>
      <c r="E28" s="1559"/>
      <c r="F28" s="1559"/>
      <c r="G28" s="1559"/>
      <c r="H28" s="1559"/>
      <c r="I28" s="1559"/>
      <c r="J28" s="1559"/>
    </row>
    <row r="29" spans="2:20" ht="13.8" thickBot="1"/>
    <row r="30" spans="2:20" ht="13.8" thickTop="1">
      <c r="B30" s="888"/>
      <c r="C30" s="888"/>
      <c r="D30" s="888"/>
      <c r="E30" s="888"/>
      <c r="F30" s="888"/>
      <c r="G30" s="889"/>
      <c r="H30" s="889"/>
      <c r="I30" s="889"/>
      <c r="J30" s="1076" t="s">
        <v>307</v>
      </c>
    </row>
    <row r="31" spans="2:20">
      <c r="B31" s="855"/>
      <c r="C31" s="1596" t="s">
        <v>532</v>
      </c>
      <c r="D31" s="1596"/>
      <c r="E31" s="1596"/>
      <c r="F31" s="855"/>
      <c r="G31" s="891" t="s">
        <v>533</v>
      </c>
      <c r="H31" s="891" t="s">
        <v>260</v>
      </c>
      <c r="I31" s="891" t="s">
        <v>265</v>
      </c>
      <c r="J31" s="997" t="s">
        <v>308</v>
      </c>
    </row>
    <row r="32" spans="2:20">
      <c r="B32" s="855"/>
      <c r="C32" s="855"/>
      <c r="D32" s="855"/>
      <c r="E32" s="855"/>
      <c r="F32" s="855"/>
      <c r="G32" s="891" t="s">
        <v>263</v>
      </c>
      <c r="H32" s="891" t="s">
        <v>264</v>
      </c>
      <c r="I32" s="891" t="s">
        <v>266</v>
      </c>
      <c r="J32" s="997" t="str">
        <f>"of "&amp;TEXT('KEY INPUTS'!D34,"0")&amp;" or Prior"</f>
        <v>of 2019 or Prior</v>
      </c>
    </row>
    <row r="33" spans="2:11" ht="13.8" thickBot="1">
      <c r="B33" s="897"/>
      <c r="C33" s="897"/>
      <c r="D33" s="897"/>
      <c r="E33" s="897"/>
      <c r="F33" s="897"/>
      <c r="G33" s="899"/>
      <c r="H33" s="899" t="s">
        <v>560</v>
      </c>
      <c r="I33" s="899" t="s">
        <v>306</v>
      </c>
      <c r="J33" s="1078" t="s">
        <v>309</v>
      </c>
    </row>
    <row r="34" spans="2:11" ht="21" customHeight="1" thickTop="1">
      <c r="B34" s="642" t="s">
        <v>3811</v>
      </c>
      <c r="C34" s="642"/>
      <c r="D34" s="569"/>
      <c r="E34" s="569"/>
      <c r="F34" s="1494" t="s">
        <v>3817</v>
      </c>
      <c r="G34" s="902">
        <f>+H34+I34+J34</f>
        <v>3800000</v>
      </c>
      <c r="H34" s="571">
        <v>3398650</v>
      </c>
      <c r="I34" s="571">
        <v>401350</v>
      </c>
      <c r="J34" s="1493"/>
      <c r="K34" s="732"/>
    </row>
    <row r="35" spans="2:11" ht="21" customHeight="1">
      <c r="B35" s="1492" t="s">
        <v>3812</v>
      </c>
      <c r="C35" s="643"/>
      <c r="D35" s="643"/>
      <c r="E35" s="643"/>
      <c r="F35" s="643"/>
      <c r="G35" s="844">
        <f t="shared" ref="G35:G43" si="0">+H35+I35+J35</f>
        <v>2100000</v>
      </c>
      <c r="H35" s="374">
        <v>1995000</v>
      </c>
      <c r="I35" s="374">
        <v>105000</v>
      </c>
      <c r="J35" s="578"/>
      <c r="K35" s="753"/>
    </row>
    <row r="36" spans="2:11" ht="21" customHeight="1">
      <c r="B36" s="566" t="s">
        <v>3813</v>
      </c>
      <c r="C36" s="566"/>
      <c r="D36" s="566"/>
      <c r="E36" s="566"/>
      <c r="F36" s="566"/>
      <c r="G36" s="844">
        <f t="shared" si="0"/>
        <v>310000</v>
      </c>
      <c r="H36" s="374">
        <v>294000</v>
      </c>
      <c r="I36" s="374">
        <v>16000</v>
      </c>
      <c r="J36" s="578"/>
    </row>
    <row r="37" spans="2:11" ht="21" customHeight="1">
      <c r="B37" s="644" t="s">
        <v>3814</v>
      </c>
      <c r="C37" s="566"/>
      <c r="D37" s="566"/>
      <c r="E37" s="566"/>
      <c r="F37" s="1495" t="s">
        <v>3818</v>
      </c>
      <c r="G37" s="844">
        <f t="shared" si="0"/>
        <v>575000</v>
      </c>
      <c r="H37" s="374"/>
      <c r="I37" s="374">
        <v>575000</v>
      </c>
      <c r="J37" s="578"/>
      <c r="K37" s="248"/>
    </row>
    <row r="38" spans="2:11" ht="21" customHeight="1">
      <c r="B38" s="566" t="s">
        <v>3815</v>
      </c>
      <c r="C38" s="566"/>
      <c r="D38" s="566"/>
      <c r="E38" s="566"/>
      <c r="F38" s="566"/>
      <c r="G38" s="844">
        <f t="shared" si="0"/>
        <v>800000</v>
      </c>
      <c r="H38" s="374">
        <v>760000</v>
      </c>
      <c r="I38" s="374">
        <v>40000</v>
      </c>
      <c r="J38" s="578"/>
    </row>
    <row r="39" spans="2:11" ht="21" customHeight="1">
      <c r="B39" s="566" t="s">
        <v>3816</v>
      </c>
      <c r="C39" s="566"/>
      <c r="D39" s="566"/>
      <c r="E39" s="566"/>
      <c r="F39" s="566"/>
      <c r="G39" s="844">
        <f t="shared" si="0"/>
        <v>910700</v>
      </c>
      <c r="H39" s="374">
        <v>865000</v>
      </c>
      <c r="I39" s="374">
        <v>45700</v>
      </c>
      <c r="J39" s="578"/>
      <c r="K39" s="248"/>
    </row>
    <row r="40" spans="2:11" ht="21" customHeight="1">
      <c r="B40" s="566"/>
      <c r="C40" s="566"/>
      <c r="D40" s="566"/>
      <c r="E40" s="566"/>
      <c r="F40" s="566"/>
      <c r="G40" s="844">
        <f t="shared" si="0"/>
        <v>0</v>
      </c>
      <c r="H40" s="374"/>
      <c r="I40" s="374"/>
      <c r="J40" s="578"/>
    </row>
    <row r="41" spans="2:11" ht="21" customHeight="1">
      <c r="B41" s="566" t="s">
        <v>3819</v>
      </c>
      <c r="C41" s="566"/>
      <c r="D41" s="566"/>
      <c r="E41" s="566"/>
      <c r="F41" s="566"/>
      <c r="G41" s="844">
        <f t="shared" si="0"/>
        <v>0</v>
      </c>
      <c r="H41" s="374"/>
      <c r="I41" s="374"/>
      <c r="J41" s="578"/>
    </row>
    <row r="42" spans="2:11" ht="21" customHeight="1">
      <c r="B42" s="566" t="s">
        <v>3820</v>
      </c>
      <c r="C42" s="566"/>
      <c r="D42" s="566"/>
      <c r="E42" s="566"/>
      <c r="F42" s="566"/>
      <c r="G42" s="844">
        <f t="shared" si="0"/>
        <v>0</v>
      </c>
      <c r="H42" s="374"/>
      <c r="I42" s="374"/>
      <c r="J42" s="578"/>
    </row>
    <row r="43" spans="2:11" ht="21" customHeight="1" thickBot="1">
      <c r="B43" s="566"/>
      <c r="C43" s="566"/>
      <c r="D43" s="566"/>
      <c r="E43" s="566"/>
      <c r="F43" s="566"/>
      <c r="G43" s="1110">
        <f t="shared" si="0"/>
        <v>0</v>
      </c>
      <c r="H43" s="616"/>
      <c r="I43" s="616"/>
      <c r="J43" s="645"/>
    </row>
    <row r="44" spans="2:11" ht="21" customHeight="1" thickTop="1" thickBot="1">
      <c r="B44" s="897"/>
      <c r="C44" s="897"/>
      <c r="D44" s="897"/>
      <c r="E44" s="897" t="s">
        <v>262</v>
      </c>
      <c r="F44" s="897"/>
      <c r="G44" s="1111">
        <f>SUM(G34:G43)</f>
        <v>8495700</v>
      </c>
      <c r="H44" s="1023">
        <f>SUM(H34:H43)</f>
        <v>7312650</v>
      </c>
      <c r="I44" s="1023">
        <f>SUM(I34:I43)</f>
        <v>1183050</v>
      </c>
      <c r="J44" s="1112">
        <f>SUM(J34:J43)</f>
        <v>0</v>
      </c>
    </row>
    <row r="45" spans="2:11" ht="13.8" thickTop="1"/>
    <row r="46" spans="2:11">
      <c r="C46" s="38" t="s">
        <v>310</v>
      </c>
      <c r="D46" t="s">
        <v>311</v>
      </c>
    </row>
    <row r="47" spans="2:11">
      <c r="D47" t="s">
        <v>192</v>
      </c>
    </row>
    <row r="49" spans="2:10">
      <c r="B49" s="322"/>
    </row>
    <row r="54" spans="2:10" ht="13.8">
      <c r="B54" s="1507" t="s">
        <v>240</v>
      </c>
      <c r="C54" s="1507"/>
      <c r="D54" s="1507"/>
      <c r="E54" s="1507"/>
      <c r="F54" s="1507"/>
      <c r="G54" s="1507"/>
      <c r="H54" s="1507"/>
      <c r="I54" s="1507"/>
      <c r="J54" s="1507"/>
    </row>
    <row r="55" spans="2:10">
      <c r="J55" s="248"/>
    </row>
  </sheetData>
  <sheetProtection algorithmName="SHA-512" hashValue="zF5nan3AmGn3chAW/BxtjjxcHPHlEo/GTzb+7gvRmmG3Jb8Bo3l2ZNutvFGg1vDLp49pTna+UhwUp0p7uNw1fw==" saltValue="njh+Ge+WxVMnSa+4pOGuNA==" spinCount="100000" sheet="1" objects="1" scenarios="1"/>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2"/>
  <dimension ref="B3:T62"/>
  <sheetViews>
    <sheetView workbookViewId="0">
      <selection activeCell="T13" sqref="T13"/>
    </sheetView>
  </sheetViews>
  <sheetFormatPr defaultRowHeight="13.2"/>
  <cols>
    <col min="1" max="1" width="4.6640625" customWidth="1"/>
    <col min="2" max="2" width="3.44140625" customWidth="1"/>
    <col min="3" max="4" width="4.6640625" customWidth="1"/>
    <col min="6" max="6" width="9" customWidth="1"/>
    <col min="7" max="10" width="16.6640625" customWidth="1"/>
    <col min="11" max="11" width="4.6640625" bestFit="1" customWidth="1"/>
    <col min="13" max="13" width="10.109375" style="65" bestFit="1" customWidth="1"/>
  </cols>
  <sheetData>
    <row r="3" spans="2:20" ht="22.8">
      <c r="B3" s="1548" t="s">
        <v>667</v>
      </c>
      <c r="C3" s="1548"/>
      <c r="D3" s="1548"/>
      <c r="E3" s="1548"/>
      <c r="F3" s="1548"/>
      <c r="G3" s="1548"/>
      <c r="H3" s="1548"/>
      <c r="I3" s="1548"/>
      <c r="J3" s="1548"/>
    </row>
    <row r="5" spans="2:20" ht="15.6">
      <c r="B5" s="1509" t="s">
        <v>193</v>
      </c>
      <c r="C5" s="1509"/>
      <c r="D5" s="1509"/>
      <c r="E5" s="1509"/>
      <c r="F5" s="1509"/>
      <c r="G5" s="1509"/>
      <c r="H5" s="1509"/>
      <c r="I5" s="1509"/>
      <c r="J5" s="1509"/>
    </row>
    <row r="6" spans="2:20" ht="15.6">
      <c r="B6" s="1752" t="str">
        <f>'KEY INPUTS'!D49</f>
        <v>YEAR  - 2019</v>
      </c>
      <c r="C6" s="1509"/>
      <c r="D6" s="1509"/>
      <c r="E6" s="1509"/>
      <c r="F6" s="1509"/>
      <c r="G6" s="1509"/>
      <c r="H6" s="1509"/>
      <c r="I6" s="1509"/>
      <c r="J6" s="1509"/>
      <c r="N6" s="322"/>
      <c r="O6" s="322"/>
      <c r="P6" s="322"/>
      <c r="Q6" s="322"/>
      <c r="R6" s="322"/>
      <c r="S6" s="322"/>
      <c r="T6" s="322"/>
    </row>
    <row r="7" spans="2:20" ht="13.8"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788</v>
      </c>
      <c r="J9" s="641">
        <v>452146.15</v>
      </c>
      <c r="K9" s="228"/>
      <c r="L9" s="325"/>
      <c r="N9" s="322"/>
      <c r="O9" s="322"/>
      <c r="P9" s="322"/>
      <c r="Q9" s="322"/>
      <c r="R9" s="322"/>
      <c r="S9" s="322"/>
      <c r="T9" s="322"/>
    </row>
    <row r="10" spans="2:20" ht="21" customHeight="1">
      <c r="B10" s="323" t="s">
        <v>195</v>
      </c>
      <c r="C10" s="323"/>
      <c r="D10" s="323"/>
      <c r="E10" s="323"/>
      <c r="F10" s="323"/>
      <c r="G10" s="323"/>
      <c r="H10" s="49"/>
      <c r="I10" s="146" t="s">
        <v>788</v>
      </c>
      <c r="J10" s="631"/>
      <c r="N10" s="322"/>
      <c r="O10" s="322"/>
      <c r="P10" s="322"/>
      <c r="Q10" s="322"/>
      <c r="R10" s="322"/>
      <c r="S10" s="322"/>
      <c r="T10" s="322"/>
    </row>
    <row r="11" spans="2:20" ht="21" customHeight="1">
      <c r="B11" s="323" t="s">
        <v>196</v>
      </c>
      <c r="C11" s="323"/>
      <c r="D11" s="323"/>
      <c r="E11" s="323"/>
      <c r="F11" s="323"/>
      <c r="G11" s="323"/>
      <c r="H11" s="49"/>
      <c r="I11" s="146" t="s">
        <v>788</v>
      </c>
      <c r="J11" s="631">
        <v>229445.57</v>
      </c>
      <c r="N11" s="322"/>
      <c r="O11" s="322"/>
      <c r="P11" s="322"/>
      <c r="Q11" s="322"/>
      <c r="R11" s="322"/>
      <c r="S11" s="322"/>
      <c r="T11" s="322"/>
    </row>
    <row r="12" spans="2:20" ht="21" customHeight="1">
      <c r="B12" s="375" t="s">
        <v>3810</v>
      </c>
      <c r="C12" s="1102"/>
      <c r="D12" s="375"/>
      <c r="E12" s="375"/>
      <c r="F12" s="375"/>
      <c r="G12" s="375"/>
      <c r="H12" s="375"/>
      <c r="I12" s="684"/>
      <c r="J12" s="376">
        <v>50479</v>
      </c>
      <c r="N12" s="322"/>
      <c r="O12" s="322"/>
      <c r="P12" s="322"/>
      <c r="Q12" s="322"/>
      <c r="R12" s="322"/>
      <c r="S12" s="322"/>
      <c r="T12" s="322"/>
    </row>
    <row r="13" spans="2:20" ht="21" customHeight="1">
      <c r="B13" s="375"/>
      <c r="C13" s="1102"/>
      <c r="D13" s="375"/>
      <c r="E13" s="375"/>
      <c r="F13" s="375"/>
      <c r="G13" s="375"/>
      <c r="H13" s="375"/>
      <c r="I13" s="684"/>
      <c r="J13" s="376"/>
      <c r="N13" s="322"/>
      <c r="O13" s="322"/>
      <c r="P13" s="322"/>
      <c r="Q13" s="322"/>
      <c r="R13" s="322"/>
      <c r="S13" s="322"/>
      <c r="T13" s="322"/>
    </row>
    <row r="14" spans="2:20" ht="21" customHeight="1">
      <c r="B14" s="566"/>
      <c r="C14" s="566"/>
      <c r="D14" s="566"/>
      <c r="E14" s="566"/>
      <c r="F14" s="566"/>
      <c r="G14" s="566"/>
      <c r="H14" s="566"/>
      <c r="I14" s="601"/>
      <c r="J14" s="1459"/>
      <c r="N14" s="322"/>
      <c r="O14" s="322"/>
      <c r="P14" s="322"/>
      <c r="Q14" s="322"/>
      <c r="R14" s="322"/>
      <c r="S14" s="322"/>
      <c r="T14" s="322"/>
    </row>
    <row r="15" spans="2:20" ht="21" customHeight="1">
      <c r="B15" s="323" t="s">
        <v>229</v>
      </c>
      <c r="C15" s="323"/>
      <c r="D15" s="323"/>
      <c r="E15" s="323"/>
      <c r="F15" s="323"/>
      <c r="G15" s="323"/>
      <c r="H15" s="49" t="s">
        <v>197</v>
      </c>
      <c r="I15" s="601"/>
      <c r="J15" s="127" t="s">
        <v>788</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v>450000</v>
      </c>
      <c r="J16" s="127" t="s">
        <v>788</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282070.71999999997</v>
      </c>
      <c r="J17" s="159" t="s">
        <v>788</v>
      </c>
      <c r="K17" s="228"/>
      <c r="L17" s="228"/>
      <c r="N17" s="322"/>
      <c r="O17" s="322"/>
      <c r="P17" s="322"/>
      <c r="Q17" s="322"/>
      <c r="R17" s="322"/>
      <c r="S17" s="322"/>
      <c r="T17" s="322"/>
    </row>
    <row r="18" spans="2:20" ht="21" customHeight="1" thickTop="1" thickBot="1">
      <c r="I18" s="124">
        <f>SUM(I9:I17)</f>
        <v>732070.72</v>
      </c>
      <c r="J18" s="161">
        <f>SUM(J9:J17)</f>
        <v>732070.72</v>
      </c>
      <c r="N18" s="322"/>
      <c r="O18" s="322"/>
      <c r="P18" s="322"/>
      <c r="Q18" s="322"/>
      <c r="R18" s="322"/>
      <c r="S18" s="322"/>
      <c r="T18" s="322"/>
    </row>
    <row r="19" spans="2:20" ht="13.8"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6">
      <c r="B26" s="944"/>
      <c r="C26" s="944"/>
      <c r="D26" s="944"/>
      <c r="E26" s="944"/>
      <c r="F26" s="944"/>
      <c r="G26" s="944"/>
      <c r="H26" s="944"/>
      <c r="I26" s="944"/>
      <c r="J26" s="944"/>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5"/>
      <c r="C29" s="258"/>
      <c r="D29" s="258"/>
      <c r="E29" s="258"/>
      <c r="F29" s="258"/>
      <c r="G29" s="258"/>
      <c r="H29" s="258"/>
      <c r="I29" s="258"/>
      <c r="J29" s="258"/>
    </row>
    <row r="30" spans="2:20">
      <c r="B30" s="945"/>
      <c r="C30" s="258"/>
      <c r="D30" s="258"/>
      <c r="E30" s="258"/>
      <c r="F30" s="258"/>
      <c r="G30" s="258"/>
      <c r="H30" s="258"/>
      <c r="I30" s="258"/>
      <c r="J30" s="258"/>
    </row>
    <row r="31" spans="2:20">
      <c r="B31" s="945"/>
      <c r="C31" s="258"/>
      <c r="D31" s="258"/>
      <c r="E31" s="258"/>
      <c r="F31" s="258"/>
      <c r="G31" s="258"/>
      <c r="H31" s="258"/>
      <c r="I31" s="258"/>
      <c r="J31" s="258"/>
    </row>
    <row r="32" spans="2:20">
      <c r="B32" s="945"/>
      <c r="C32" s="258"/>
      <c r="D32" s="258"/>
      <c r="E32" s="258"/>
      <c r="F32" s="258"/>
      <c r="G32" s="258"/>
      <c r="H32" s="258"/>
      <c r="I32" s="946"/>
      <c r="J32" s="947"/>
    </row>
    <row r="33" spans="2:10">
      <c r="B33" s="945"/>
      <c r="C33" s="258"/>
      <c r="D33" s="258"/>
      <c r="E33" s="258"/>
      <c r="F33" s="258"/>
      <c r="G33" s="258"/>
      <c r="H33" s="258"/>
      <c r="I33" s="258"/>
      <c r="J33" s="258"/>
    </row>
    <row r="34" spans="2:10">
      <c r="B34" s="945"/>
      <c r="C34" s="258"/>
      <c r="D34" s="258"/>
      <c r="E34" s="258"/>
      <c r="F34" s="258"/>
      <c r="G34" s="258"/>
      <c r="H34" s="258"/>
      <c r="I34" s="946"/>
      <c r="J34" s="947"/>
    </row>
    <row r="35" spans="2:10">
      <c r="B35" s="945"/>
      <c r="C35" s="258"/>
      <c r="D35" s="258"/>
      <c r="E35" s="258"/>
      <c r="F35" s="258"/>
      <c r="G35" s="258"/>
      <c r="H35" s="258"/>
      <c r="I35" s="258"/>
      <c r="J35" s="258"/>
    </row>
    <row r="36" spans="2:10">
      <c r="B36" s="945"/>
      <c r="C36" s="258"/>
      <c r="D36" s="258"/>
      <c r="E36" s="258"/>
      <c r="F36" s="258"/>
      <c r="G36" s="258"/>
      <c r="H36" s="258"/>
      <c r="I36" s="258"/>
      <c r="J36" s="258"/>
    </row>
    <row r="37" spans="2:10">
      <c r="B37" s="945"/>
      <c r="C37" s="258"/>
      <c r="D37" s="258"/>
      <c r="E37" s="258"/>
      <c r="F37" s="258"/>
      <c r="G37" s="258"/>
      <c r="H37" s="946"/>
      <c r="I37" s="947"/>
      <c r="J37" s="258"/>
    </row>
    <row r="38" spans="2:10">
      <c r="B38" s="945"/>
      <c r="C38" s="258"/>
      <c r="D38" s="258"/>
      <c r="E38" s="258"/>
      <c r="F38" s="258"/>
      <c r="G38" s="258"/>
      <c r="H38" s="258"/>
      <c r="I38" s="258"/>
      <c r="J38" s="258"/>
    </row>
    <row r="39" spans="2:10">
      <c r="B39" s="945"/>
      <c r="C39" s="258"/>
      <c r="D39" s="258"/>
      <c r="E39" s="258"/>
      <c r="F39" s="258"/>
      <c r="G39" s="258"/>
      <c r="H39" s="258"/>
      <c r="I39" s="258"/>
      <c r="J39" s="258"/>
    </row>
    <row r="40" spans="2:10">
      <c r="B40" s="945"/>
      <c r="C40" s="258"/>
      <c r="D40" s="258"/>
      <c r="E40" s="258"/>
      <c r="F40" s="258"/>
      <c r="G40" s="258"/>
      <c r="H40" s="946"/>
      <c r="I40" s="947"/>
      <c r="J40" s="258"/>
    </row>
    <row r="41" spans="2:10">
      <c r="B41" s="945"/>
      <c r="C41" s="258"/>
      <c r="D41" s="258"/>
      <c r="E41" s="258"/>
      <c r="F41" s="258"/>
      <c r="G41" s="258"/>
      <c r="H41" s="258"/>
      <c r="I41" s="258"/>
      <c r="J41" s="258"/>
    </row>
    <row r="42" spans="2:10">
      <c r="B42" s="945"/>
      <c r="C42" s="258"/>
      <c r="D42" s="258"/>
      <c r="E42" s="258"/>
      <c r="F42" s="258"/>
      <c r="G42" s="258"/>
      <c r="H42" s="946"/>
      <c r="I42" s="947"/>
      <c r="J42" s="258"/>
    </row>
    <row r="43" spans="2:10">
      <c r="B43" s="945"/>
      <c r="C43" s="258"/>
      <c r="D43" s="258"/>
      <c r="E43" s="258"/>
      <c r="F43" s="258"/>
      <c r="G43" s="258"/>
      <c r="H43" s="258"/>
      <c r="I43" s="258"/>
      <c r="J43" s="258"/>
    </row>
    <row r="44" spans="2:10">
      <c r="B44" s="945"/>
      <c r="C44" s="258"/>
      <c r="D44" s="258"/>
      <c r="E44" s="258"/>
      <c r="F44" s="258"/>
      <c r="G44" s="258"/>
      <c r="H44" s="946"/>
      <c r="I44" s="947"/>
      <c r="J44" s="258"/>
    </row>
    <row r="45" spans="2:10">
      <c r="B45" s="945"/>
      <c r="C45" s="258"/>
      <c r="D45" s="258"/>
      <c r="E45" s="258"/>
      <c r="F45" s="258"/>
      <c r="G45" s="258"/>
      <c r="H45" s="258"/>
      <c r="I45" s="258"/>
      <c r="J45" s="258"/>
    </row>
    <row r="46" spans="2:10">
      <c r="B46" s="945"/>
      <c r="C46" s="258"/>
      <c r="D46" s="258"/>
      <c r="E46" s="258"/>
      <c r="F46" s="258"/>
      <c r="G46" s="258"/>
      <c r="H46" s="258"/>
      <c r="I46" s="946"/>
      <c r="J46" s="947"/>
    </row>
    <row r="47" spans="2:10">
      <c r="B47" s="945"/>
      <c r="C47" s="258"/>
      <c r="D47" s="258"/>
      <c r="E47" s="258"/>
      <c r="F47" s="258"/>
      <c r="G47" s="258"/>
      <c r="H47" s="258"/>
      <c r="I47" s="258"/>
      <c r="J47" s="258"/>
    </row>
    <row r="48" spans="2:10">
      <c r="B48" s="945"/>
      <c r="C48" s="258"/>
      <c r="D48" s="258"/>
      <c r="E48" s="258"/>
      <c r="F48" s="258"/>
      <c r="G48" s="258"/>
      <c r="H48" s="258"/>
      <c r="I48" s="258"/>
      <c r="J48" s="258"/>
    </row>
    <row r="49" spans="2:10">
      <c r="B49" s="945"/>
      <c r="C49" s="258"/>
      <c r="D49" s="258"/>
      <c r="E49" s="258"/>
      <c r="F49" s="258"/>
      <c r="G49" s="258"/>
      <c r="H49" s="258"/>
      <c r="I49" s="258"/>
      <c r="J49" s="258"/>
    </row>
    <row r="50" spans="2:10">
      <c r="B50" s="948"/>
      <c r="C50" s="258"/>
      <c r="D50" s="258"/>
      <c r="E50" s="258"/>
      <c r="F50" s="258"/>
      <c r="G50" s="258"/>
      <c r="H50" s="258"/>
      <c r="I50" s="258"/>
      <c r="J50" s="258"/>
    </row>
    <row r="51" spans="2:10">
      <c r="B51" s="948"/>
      <c r="C51" s="258"/>
      <c r="D51" s="258"/>
      <c r="E51" s="258"/>
      <c r="F51" s="258"/>
      <c r="G51" s="258"/>
      <c r="H51" s="258"/>
      <c r="I51" s="258"/>
      <c r="J51" s="258"/>
    </row>
    <row r="52" spans="2:10">
      <c r="B52" s="949"/>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3.8">
      <c r="B62" s="1507" t="s">
        <v>199</v>
      </c>
      <c r="C62" s="1507"/>
      <c r="D62" s="1507"/>
      <c r="E62" s="1507"/>
      <c r="F62" s="1507"/>
      <c r="G62" s="1507"/>
      <c r="H62" s="1507"/>
      <c r="I62" s="1507"/>
      <c r="J62" s="1507"/>
    </row>
  </sheetData>
  <sheetProtection algorithmName="SHA-512" hashValue="yINWXBUaAu+drYpaw6B7C+sO/hCO2JsYmJ3H3v5CVoq0q8H72mtSIqRFKuM3I6HUbNkE8w18Xk69F0kcixO7VA==" saltValue="MLT3sSaaUx3mp/FmRjwIX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3"/>
  <dimension ref="B2:R62"/>
  <sheetViews>
    <sheetView zoomScaleNormal="100" workbookViewId="0">
      <selection activeCell="B1" sqref="B1"/>
    </sheetView>
  </sheetViews>
  <sheetFormatPr defaultRowHeight="13.2"/>
  <cols>
    <col min="1" max="4" width="4.6640625" customWidth="1"/>
    <col min="7" max="7" width="10.109375" customWidth="1"/>
    <col min="8" max="8" width="8.33203125" customWidth="1"/>
    <col min="9" max="9" width="4.33203125" customWidth="1"/>
    <col min="10" max="10" width="4.6640625" customWidth="1"/>
    <col min="11" max="11" width="1.6640625" customWidth="1"/>
    <col min="12" max="12" width="7.6640625" customWidth="1"/>
    <col min="13" max="13" width="1.6640625" customWidth="1"/>
    <col min="14" max="14" width="8.6640625" customWidth="1"/>
    <col min="15" max="15" width="1.5546875" customWidth="1"/>
    <col min="16" max="16" width="7.6640625" customWidth="1"/>
    <col min="17" max="17" width="8.6640625" customWidth="1"/>
  </cols>
  <sheetData>
    <row r="2" spans="2:17" ht="17.399999999999999">
      <c r="B2" s="1559" t="s">
        <v>607</v>
      </c>
      <c r="C2" s="1559"/>
      <c r="D2" s="1559"/>
      <c r="E2" s="1559"/>
      <c r="F2" s="1559"/>
      <c r="G2" s="1559"/>
      <c r="H2" s="1559"/>
      <c r="I2" s="1559"/>
      <c r="J2" s="1559"/>
      <c r="K2" s="1559"/>
      <c r="L2" s="1559"/>
      <c r="M2" s="1559"/>
      <c r="N2" s="1559"/>
      <c r="O2" s="1559"/>
      <c r="P2" s="1559"/>
      <c r="Q2" s="1559"/>
    </row>
    <row r="4" spans="2:17" ht="22.8">
      <c r="B4" s="1548" t="s">
        <v>771</v>
      </c>
      <c r="C4" s="1548"/>
      <c r="D4" s="1548"/>
      <c r="E4" s="1548"/>
      <c r="F4" s="1548"/>
      <c r="G4" s="1548"/>
      <c r="H4" s="1548"/>
      <c r="I4" s="1548"/>
      <c r="J4" s="1548"/>
      <c r="K4" s="1548"/>
      <c r="L4" s="1548"/>
      <c r="M4" s="1548"/>
      <c r="N4" s="1548"/>
      <c r="O4" s="1548"/>
      <c r="P4" s="1548"/>
      <c r="Q4" s="1548"/>
    </row>
    <row r="6" spans="2:17">
      <c r="B6" s="1756" t="s">
        <v>179</v>
      </c>
      <c r="C6" s="1756"/>
      <c r="D6" s="1756"/>
      <c r="E6" s="1756"/>
      <c r="F6" s="1756"/>
      <c r="G6" s="1756"/>
      <c r="H6" s="1756"/>
      <c r="I6" s="1756"/>
      <c r="J6" s="1756"/>
      <c r="K6" s="1756"/>
      <c r="L6" s="1756"/>
      <c r="M6" s="1756"/>
      <c r="N6" s="1756"/>
      <c r="O6" s="1756"/>
      <c r="P6" s="1756"/>
      <c r="Q6" s="1756"/>
    </row>
    <row r="8" spans="2:17">
      <c r="B8" s="1757" t="s">
        <v>354</v>
      </c>
      <c r="C8" s="1757"/>
      <c r="D8" s="1757"/>
      <c r="E8" s="1757"/>
      <c r="F8" s="1757"/>
      <c r="G8" s="1757"/>
      <c r="H8" s="1757"/>
      <c r="I8" s="1757"/>
      <c r="J8" s="1757"/>
      <c r="K8" s="1757"/>
      <c r="L8" s="1757"/>
      <c r="M8" s="1757"/>
      <c r="N8" s="1757"/>
      <c r="O8" s="1757"/>
      <c r="P8" s="1757"/>
      <c r="Q8" s="1757"/>
    </row>
    <row r="9" spans="2:17" ht="13.8" thickBot="1">
      <c r="B9" s="10"/>
      <c r="C9" s="10"/>
      <c r="D9" s="10"/>
      <c r="E9" s="10"/>
      <c r="F9" s="10"/>
      <c r="G9" s="10"/>
      <c r="H9" s="10"/>
      <c r="I9" s="10"/>
      <c r="J9" s="10"/>
      <c r="K9" s="10"/>
      <c r="L9" s="10"/>
      <c r="M9" s="10"/>
      <c r="N9" s="10"/>
      <c r="O9" s="10"/>
      <c r="P9" s="10"/>
      <c r="Q9" s="10"/>
    </row>
    <row r="10" spans="2:17" ht="13.8" thickTop="1">
      <c r="B10" s="42"/>
      <c r="C10" s="42"/>
      <c r="D10" s="42"/>
      <c r="E10" s="42"/>
      <c r="F10" s="42"/>
      <c r="G10" s="42"/>
      <c r="H10" s="42"/>
      <c r="I10" s="42"/>
    </row>
    <row r="11" spans="2:17" ht="13.8">
      <c r="B11" s="93" t="s">
        <v>67</v>
      </c>
    </row>
    <row r="12" spans="2:17" ht="21.9" customHeight="1">
      <c r="C12" s="85" t="s">
        <v>384</v>
      </c>
      <c r="D12" s="280" t="str">
        <f>"Total Tax Levy for the Year "&amp;TEXT('KEY INPUTS'!D34,"0")&amp;" was"</f>
        <v>Total Tax Levy for the Year 2019 was</v>
      </c>
      <c r="M12" t="s">
        <v>482</v>
      </c>
      <c r="N12" s="1753">
        <f>+'22-2019 Levy'!J17</f>
        <v>120328752.48</v>
      </c>
      <c r="O12" s="1753"/>
      <c r="P12" s="1753"/>
    </row>
    <row r="13" spans="2:17" ht="21.9" customHeight="1">
      <c r="C13" s="85" t="s">
        <v>385</v>
      </c>
      <c r="D13" s="280" t="str">
        <f>"Amount of Item 1 Collected in "&amp;TEXT('KEY INPUTS'!D34,"0")&amp;" (*)"</f>
        <v>Amount of Item 1 Collected in 2019 (*)</v>
      </c>
      <c r="K13" s="42" t="s">
        <v>482</v>
      </c>
      <c r="L13" s="1753">
        <f>+'22-2019 Levy'!L32</f>
        <v>119274467.38000001</v>
      </c>
      <c r="M13" s="1753"/>
      <c r="N13" s="1753"/>
    </row>
    <row r="14" spans="2:17" ht="21.9" customHeight="1">
      <c r="C14" s="85" t="s">
        <v>386</v>
      </c>
      <c r="D14" t="s">
        <v>355</v>
      </c>
      <c r="M14" t="s">
        <v>482</v>
      </c>
      <c r="N14" s="1753">
        <f>+N12*0.7</f>
        <v>84230126.736000001</v>
      </c>
      <c r="O14" s="1753"/>
      <c r="P14" s="1753"/>
    </row>
    <row r="15" spans="2:17" ht="21.9" customHeight="1">
      <c r="C15" t="s">
        <v>356</v>
      </c>
    </row>
    <row r="17" spans="2:17" ht="13.8" thickBot="1">
      <c r="B17" s="10"/>
      <c r="C17" s="10"/>
      <c r="D17" s="10"/>
      <c r="E17" s="10"/>
      <c r="F17" s="10"/>
      <c r="G17" s="10"/>
      <c r="H17" s="10"/>
      <c r="I17" s="10"/>
      <c r="J17" s="10"/>
      <c r="K17" s="10"/>
      <c r="L17" s="10"/>
      <c r="M17" s="10"/>
      <c r="N17" s="10"/>
      <c r="O17" s="10"/>
      <c r="P17" s="10"/>
      <c r="Q17" s="10"/>
    </row>
    <row r="18" spans="2:17" ht="13.8" thickTop="1"/>
    <row r="19" spans="2:17" ht="13.8">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45" t="s">
        <v>357</v>
      </c>
      <c r="E22" s="1545"/>
      <c r="F22" s="1545"/>
      <c r="G22" s="646"/>
      <c r="H22" s="163"/>
    </row>
    <row r="24" spans="2:17">
      <c r="C24" s="85" t="s">
        <v>385</v>
      </c>
      <c r="D24" t="s">
        <v>761</v>
      </c>
    </row>
    <row r="25" spans="2:17">
      <c r="E25" s="280" t="str">
        <f>"December 31, "&amp;TEXT('KEY INPUTS'!D34,"0")&amp;"?"</f>
        <v>December 31, 2019?</v>
      </c>
    </row>
    <row r="27" spans="2:17">
      <c r="D27" s="1545" t="s">
        <v>357</v>
      </c>
      <c r="E27" s="1545"/>
      <c r="F27" s="1545"/>
      <c r="G27" s="646"/>
      <c r="H27" t="s">
        <v>762</v>
      </c>
    </row>
    <row r="30" spans="2:17">
      <c r="D30" s="118" t="s">
        <v>772</v>
      </c>
    </row>
    <row r="31" spans="2:17" ht="13.8" thickBot="1">
      <c r="B31" s="10"/>
      <c r="C31" s="10"/>
      <c r="D31" s="10"/>
      <c r="E31" s="10"/>
      <c r="F31" s="10"/>
      <c r="G31" s="10"/>
      <c r="H31" s="10"/>
      <c r="I31" s="10"/>
      <c r="J31" s="10"/>
      <c r="K31" s="10"/>
      <c r="L31" s="10"/>
      <c r="M31" s="10"/>
      <c r="N31" s="10"/>
      <c r="O31" s="10"/>
      <c r="P31" s="10"/>
      <c r="Q31" s="10"/>
    </row>
    <row r="32" spans="2:17" ht="13.8" thickTop="1"/>
    <row r="33" spans="2:17" ht="13.8">
      <c r="B33" s="93" t="s">
        <v>1082</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773</v>
      </c>
    </row>
    <row r="35" spans="2:17">
      <c r="B35" t="s">
        <v>763</v>
      </c>
      <c r="E35" s="1545"/>
      <c r="F35" s="1545"/>
      <c r="G35" s="1545"/>
      <c r="H35" s="1511"/>
      <c r="I35" s="1511"/>
    </row>
    <row r="36" spans="2:17">
      <c r="E36" s="1545" t="s">
        <v>357</v>
      </c>
      <c r="F36" s="1545"/>
      <c r="G36" s="1545"/>
      <c r="H36" s="646"/>
    </row>
    <row r="37" spans="2:17" ht="13.8" thickBot="1">
      <c r="B37" s="10"/>
      <c r="C37" s="10"/>
      <c r="D37" s="10"/>
      <c r="E37" s="10"/>
      <c r="F37" s="10"/>
      <c r="G37" s="10"/>
      <c r="H37" s="10"/>
      <c r="I37" s="10"/>
      <c r="J37" s="10"/>
      <c r="K37" s="10"/>
      <c r="L37" s="10"/>
      <c r="M37" s="10"/>
      <c r="N37" s="10"/>
      <c r="O37" s="10"/>
      <c r="P37" s="10"/>
      <c r="Q37" s="10"/>
    </row>
    <row r="38" spans="2:17" ht="13.8" thickTop="1"/>
    <row r="39" spans="2:17" ht="13.8">
      <c r="B39" s="93" t="s">
        <v>1083</v>
      </c>
    </row>
    <row r="40" spans="2:17">
      <c r="C40" s="85" t="s">
        <v>384</v>
      </c>
      <c r="D40" s="280" t="str">
        <f>"Cash Deficit "&amp;TEXT('KEY INPUTS'!D35,"0")</f>
        <v>Cash Deficit 2018</v>
      </c>
      <c r="O40" t="s">
        <v>482</v>
      </c>
      <c r="P40" s="1550"/>
      <c r="Q40" s="1550"/>
    </row>
    <row r="42" spans="2:17">
      <c r="C42" s="85" t="s">
        <v>385</v>
      </c>
      <c r="D42" s="280" t="str">
        <f>"4% of "&amp;TEXT('KEY INPUTS'!D35,"0")&amp;" Tax Levy for all purposes:"</f>
        <v>4% of 2018 Tax Levy for all purposes:</v>
      </c>
    </row>
    <row r="43" spans="2:17">
      <c r="H43" t="s">
        <v>766</v>
      </c>
      <c r="I43" s="38" t="s">
        <v>765</v>
      </c>
      <c r="J43" s="1550"/>
      <c r="K43" s="1550"/>
      <c r="L43" s="1550"/>
      <c r="M43" s="1550"/>
      <c r="N43" s="1" t="s">
        <v>764</v>
      </c>
      <c r="O43" t="s">
        <v>482</v>
      </c>
      <c r="P43" s="1550"/>
      <c r="Q43" s="1550"/>
    </row>
    <row r="45" spans="2:17">
      <c r="C45" s="85" t="s">
        <v>386</v>
      </c>
      <c r="D45" s="280" t="str">
        <f>"Cash Deficit "&amp;TEXT('KEY INPUTS'!D34,"0")</f>
        <v>Cash Deficit 2019</v>
      </c>
      <c r="O45" t="s">
        <v>482</v>
      </c>
      <c r="P45" s="1550"/>
      <c r="Q45" s="1550"/>
    </row>
    <row r="47" spans="2:17">
      <c r="C47" s="85" t="s">
        <v>387</v>
      </c>
      <c r="D47" s="280" t="str">
        <f>"4% of "&amp;TEXT('KEY INPUTS'!D34,"0")&amp;" Tax Levy for all purposes:"</f>
        <v>4% of 2019 Tax Levy for all purposes:</v>
      </c>
    </row>
    <row r="48" spans="2:17">
      <c r="H48" t="s">
        <v>766</v>
      </c>
      <c r="I48" s="38" t="s">
        <v>765</v>
      </c>
      <c r="J48" s="1550"/>
      <c r="K48" s="1550"/>
      <c r="L48" s="1550"/>
      <c r="M48" s="1550"/>
      <c r="N48" s="1" t="s">
        <v>764</v>
      </c>
      <c r="O48" t="s">
        <v>482</v>
      </c>
      <c r="P48" s="1550"/>
      <c r="Q48" s="1550"/>
    </row>
    <row r="50" spans="2:18" ht="13.8" thickBot="1">
      <c r="B50" s="10"/>
      <c r="C50" s="10"/>
      <c r="D50" s="10"/>
      <c r="E50" s="10"/>
      <c r="F50" s="10"/>
      <c r="G50" s="10"/>
      <c r="H50" s="10"/>
      <c r="I50" s="10"/>
      <c r="J50" s="10"/>
      <c r="K50" s="10"/>
      <c r="L50" s="10"/>
      <c r="M50" s="10"/>
      <c r="N50" s="10"/>
      <c r="O50" s="10"/>
      <c r="P50" s="10"/>
      <c r="Q50" s="10"/>
    </row>
    <row r="51" spans="2:18" ht="13.8" thickTop="1"/>
    <row r="52" spans="2:18" ht="13.8">
      <c r="B52" s="93" t="s">
        <v>1084</v>
      </c>
      <c r="D52" s="1571" t="s">
        <v>770</v>
      </c>
      <c r="E52" s="1571"/>
      <c r="F52" s="1571"/>
      <c r="H52" s="1571">
        <f>'KEY INPUTS'!D35</f>
        <v>2018</v>
      </c>
      <c r="I52" s="1571"/>
      <c r="J52" s="1571"/>
      <c r="L52" s="1571">
        <f>'KEY INPUTS'!D34</f>
        <v>2019</v>
      </c>
      <c r="M52" s="1571"/>
      <c r="N52" s="1571"/>
      <c r="O52" s="1571" t="s">
        <v>260</v>
      </c>
      <c r="P52" s="1571"/>
      <c r="Q52" s="1571"/>
    </row>
    <row r="54" spans="2:18" ht="21" customHeight="1">
      <c r="C54" s="85" t="s">
        <v>384</v>
      </c>
      <c r="D54" t="s">
        <v>767</v>
      </c>
      <c r="G54" s="38" t="s">
        <v>765</v>
      </c>
      <c r="H54" s="1550"/>
      <c r="I54" s="1550"/>
      <c r="J54" s="1550"/>
      <c r="K54" t="s">
        <v>482</v>
      </c>
      <c r="L54" s="1550"/>
      <c r="M54" s="1550"/>
      <c r="N54" s="1550"/>
      <c r="O54" t="s">
        <v>482</v>
      </c>
      <c r="P54" s="1753">
        <f>+L54+H54</f>
        <v>0</v>
      </c>
      <c r="Q54" s="1753"/>
    </row>
    <row r="55" spans="2:18" ht="21" customHeight="1">
      <c r="C55" s="85" t="s">
        <v>385</v>
      </c>
      <c r="D55" t="s">
        <v>864</v>
      </c>
      <c r="G55" s="38" t="s">
        <v>765</v>
      </c>
      <c r="H55" s="1550"/>
      <c r="I55" s="1550"/>
      <c r="J55" s="1550"/>
      <c r="K55" t="s">
        <v>482</v>
      </c>
      <c r="L55" s="1754">
        <f>+'15-Other Taxes'!I19+'15-Other Taxes'!I18</f>
        <v>29097.510000001639</v>
      </c>
      <c r="M55" s="1754"/>
      <c r="N55" s="1754"/>
      <c r="O55" t="s">
        <v>482</v>
      </c>
      <c r="P55" s="1753">
        <f>+L55+H55</f>
        <v>29097.510000001639</v>
      </c>
      <c r="Q55" s="1753"/>
      <c r="R55" s="739"/>
    </row>
    <row r="56" spans="2:18" ht="21" customHeight="1">
      <c r="C56" s="85" t="s">
        <v>386</v>
      </c>
      <c r="D56" t="s">
        <v>768</v>
      </c>
    </row>
    <row r="57" spans="2:18" ht="21" customHeight="1">
      <c r="C57" s="85"/>
      <c r="G57" s="38" t="s">
        <v>765</v>
      </c>
      <c r="H57" s="1550"/>
      <c r="I57" s="1550"/>
      <c r="J57" s="1550"/>
      <c r="K57" t="s">
        <v>482</v>
      </c>
      <c r="L57" s="1755">
        <f>'15-Other Taxes'!I38</f>
        <v>0</v>
      </c>
      <c r="M57" s="1755"/>
      <c r="N57" s="1755"/>
      <c r="O57" t="s">
        <v>482</v>
      </c>
      <c r="P57" s="1753">
        <f>+L57+H57</f>
        <v>0</v>
      </c>
      <c r="Q57" s="1753"/>
      <c r="R57" s="739"/>
    </row>
    <row r="58" spans="2:18" ht="21" customHeight="1">
      <c r="C58" s="85" t="s">
        <v>387</v>
      </c>
      <c r="D58" s="324" t="s">
        <v>3691</v>
      </c>
    </row>
    <row r="59" spans="2:18" ht="21" customHeight="1">
      <c r="C59" s="85"/>
      <c r="G59" s="38" t="s">
        <v>765</v>
      </c>
      <c r="H59" s="1550"/>
      <c r="I59" s="1550"/>
      <c r="J59" s="1550"/>
      <c r="K59" t="s">
        <v>482</v>
      </c>
      <c r="L59" s="1753">
        <f>+'13-Other Taxes'!G17+'13-Other Taxes'!G16+'14-Other Taxes'!G38+'14-Other Taxes'!G17+'14-Other Taxes'!G18+'14-Other Taxes'!G39</f>
        <v>22701788</v>
      </c>
      <c r="M59" s="1753"/>
      <c r="N59" s="1753"/>
      <c r="O59" t="s">
        <v>482</v>
      </c>
      <c r="P59" s="1753">
        <f>+L59+H59</f>
        <v>22701788</v>
      </c>
      <c r="Q59" s="1753"/>
      <c r="R59" s="739"/>
    </row>
    <row r="62" spans="2:18" ht="13.8">
      <c r="B62" s="1507" t="s">
        <v>769</v>
      </c>
      <c r="C62" s="1507"/>
      <c r="D62" s="1507"/>
      <c r="E62" s="1507"/>
      <c r="F62" s="1507"/>
      <c r="G62" s="1507"/>
      <c r="H62" s="1507"/>
      <c r="I62" s="1507"/>
      <c r="J62" s="1507"/>
      <c r="K62" s="1507"/>
      <c r="L62" s="1507"/>
      <c r="M62" s="1507"/>
      <c r="N62" s="1507"/>
      <c r="O62" s="1507"/>
      <c r="P62" s="1507"/>
      <c r="Q62" s="1507"/>
    </row>
  </sheetData>
  <sheetProtection password="CAF9"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4">
    <tabColor theme="6" tint="0.39997558519241921"/>
  </sheetPr>
  <dimension ref="B12:V68"/>
  <sheetViews>
    <sheetView topLeftCell="A4" workbookViewId="0">
      <selection activeCell="H40" sqref="H40:H41"/>
    </sheetView>
  </sheetViews>
  <sheetFormatPr defaultRowHeight="13.2"/>
  <cols>
    <col min="1" max="1" width="4.6640625" customWidth="1"/>
    <col min="3" max="3" width="5.88671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1.8">
      <c r="B22" s="1758" t="s">
        <v>33</v>
      </c>
      <c r="C22" s="1758"/>
      <c r="D22" s="1758"/>
      <c r="E22" s="1758"/>
      <c r="F22" s="1758"/>
      <c r="G22" s="1758"/>
      <c r="H22" s="1758"/>
      <c r="I22" s="1758"/>
      <c r="J22" s="1758"/>
      <c r="K22" s="1758"/>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898</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3.8">
      <c r="B68" s="1507" t="s">
        <v>36</v>
      </c>
      <c r="C68" s="1507"/>
      <c r="D68" s="1507"/>
      <c r="E68" s="1507"/>
      <c r="F68" s="1507"/>
      <c r="G68" s="1507"/>
      <c r="H68" s="1507"/>
      <c r="I68" s="1507"/>
      <c r="J68" s="1507"/>
      <c r="K68" s="1507"/>
    </row>
  </sheetData>
  <sheetProtection password="CAF9"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5">
    <tabColor theme="6" tint="0.39997558519241921"/>
  </sheetPr>
  <dimension ref="B2:R57"/>
  <sheetViews>
    <sheetView topLeftCell="A2" zoomScaleNormal="100" zoomScaleSheetLayoutView="80" workbookViewId="0">
      <selection activeCell="N19" sqref="N19"/>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INPUTS'!D52)&amp;"  UTILITY  FUND"</f>
        <v>TRIAL  BALANCE - WATER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f>3461049.77+300</f>
        <v>3461349.77</v>
      </c>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925"/>
      <c r="H15" s="924"/>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'47-Utility1'!L24</f>
        <v>701842.44000000134</v>
      </c>
      <c r="H20" s="1125"/>
      <c r="L20" s="322"/>
      <c r="M20" s="322"/>
      <c r="N20" s="322"/>
      <c r="O20" s="322"/>
      <c r="P20" s="322"/>
      <c r="Q20" s="322"/>
      <c r="R20" s="322"/>
    </row>
    <row r="21" spans="2:18" ht="21" customHeight="1">
      <c r="B21" s="691" t="s">
        <v>3488</v>
      </c>
      <c r="C21" s="691"/>
      <c r="D21" s="691"/>
      <c r="E21" s="691"/>
      <c r="F21" s="691"/>
      <c r="G21" s="690">
        <f>'47-Utility1'!L54</f>
        <v>0</v>
      </c>
      <c r="H21" s="1116"/>
      <c r="L21" s="322"/>
      <c r="M21" s="322"/>
      <c r="N21" s="322"/>
      <c r="O21" s="322"/>
      <c r="P21" s="322"/>
      <c r="Q21" s="322"/>
      <c r="R21" s="322"/>
    </row>
    <row r="22" spans="2:18" ht="21" customHeight="1">
      <c r="B22" s="648" t="s">
        <v>3958</v>
      </c>
      <c r="C22" s="648"/>
      <c r="D22" s="648"/>
      <c r="E22" s="648"/>
      <c r="F22" s="648"/>
      <c r="G22" s="601">
        <v>183735.15</v>
      </c>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01">
        <v>6400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+'44-Utility1'!I37</f>
        <v>1597972.57</v>
      </c>
      <c r="J31" s="740"/>
    </row>
    <row r="32" spans="2:18" ht="21" customHeight="1">
      <c r="B32" s="691" t="s">
        <v>3411</v>
      </c>
      <c r="C32" s="691"/>
      <c r="D32" s="691"/>
      <c r="E32" s="691"/>
      <c r="F32" s="691"/>
      <c r="G32" s="601"/>
      <c r="H32" s="609">
        <v>420497.04</v>
      </c>
    </row>
    <row r="33" spans="2:10" ht="21" customHeight="1">
      <c r="B33" s="691" t="s">
        <v>3410</v>
      </c>
      <c r="C33" s="691"/>
      <c r="D33" s="691"/>
      <c r="E33" s="691"/>
      <c r="F33" s="691"/>
      <c r="G33" s="601"/>
      <c r="H33" s="1128">
        <f>+'49-Utility1'!I29+'49a-Utility1'!I29+'50-Utility1'!M24+'49a.1-Utility1'!I29</f>
        <v>148712.5</v>
      </c>
      <c r="J33" s="740"/>
    </row>
    <row r="34" spans="2:10" ht="21" customHeight="1">
      <c r="B34" s="648" t="s">
        <v>3498</v>
      </c>
      <c r="C34" s="648"/>
      <c r="D34" s="648"/>
      <c r="E34" s="648"/>
      <c r="F34" s="652"/>
      <c r="G34" s="601"/>
      <c r="H34" s="609"/>
    </row>
    <row r="35" spans="2:10" ht="21" customHeight="1">
      <c r="B35" s="649" t="s">
        <v>3960</v>
      </c>
      <c r="C35" s="649"/>
      <c r="D35" s="649"/>
      <c r="E35" s="649"/>
      <c r="F35" s="649"/>
      <c r="G35" s="1114"/>
      <c r="H35" s="1113">
        <v>56535.5</v>
      </c>
    </row>
    <row r="36" spans="2:10" ht="21" customHeight="1">
      <c r="B36" s="648" t="s">
        <v>3961</v>
      </c>
      <c r="C36" s="648"/>
      <c r="D36" s="648"/>
      <c r="E36" s="648"/>
      <c r="F36" s="648"/>
      <c r="G36" s="601"/>
      <c r="H36" s="609">
        <v>13997.53</v>
      </c>
    </row>
    <row r="37" spans="2:10" ht="21" customHeight="1">
      <c r="B37" s="648"/>
      <c r="C37" s="649"/>
      <c r="D37" s="648"/>
      <c r="E37" s="648"/>
      <c r="F37" s="673"/>
      <c r="G37" s="1115"/>
      <c r="H37" s="631"/>
    </row>
    <row r="38" spans="2:10" ht="21" customHeight="1" thickBot="1">
      <c r="B38" s="648"/>
      <c r="C38" s="648"/>
      <c r="D38" s="648"/>
      <c r="E38" s="648"/>
      <c r="F38" s="648"/>
      <c r="G38" s="631"/>
      <c r="H38" s="633"/>
    </row>
    <row r="39" spans="2:10" ht="21" customHeight="1" thickTop="1">
      <c r="B39" s="691"/>
      <c r="C39" s="691" t="s">
        <v>3409</v>
      </c>
      <c r="D39" s="691"/>
      <c r="E39" s="691"/>
      <c r="F39" s="691"/>
      <c r="G39" s="1123"/>
      <c r="H39" s="1218">
        <f>SUM(H30:H38)</f>
        <v>2237715.14</v>
      </c>
      <c r="I39" s="398" t="s">
        <v>998</v>
      </c>
    </row>
    <row r="40" spans="2:10" ht="21" customHeight="1">
      <c r="B40" s="1130" t="s">
        <v>3499</v>
      </c>
      <c r="C40" s="1130"/>
      <c r="D40" s="1130"/>
      <c r="E40" s="1130"/>
      <c r="F40" s="1130"/>
      <c r="G40" s="1125"/>
      <c r="H40" s="631">
        <f>+G20+G22</f>
        <v>885577.59000000136</v>
      </c>
    </row>
    <row r="41" spans="2:10" ht="21" customHeight="1">
      <c r="B41" s="648"/>
      <c r="C41" s="648"/>
      <c r="D41" s="648"/>
      <c r="E41" s="648"/>
      <c r="F41" s="648"/>
      <c r="G41" s="601"/>
      <c r="H41" s="609"/>
    </row>
    <row r="42" spans="2:10" ht="21" customHeight="1">
      <c r="B42" s="691" t="s">
        <v>778</v>
      </c>
      <c r="C42" s="691"/>
      <c r="D42" s="691"/>
      <c r="E42" s="691"/>
      <c r="F42" s="691"/>
      <c r="G42" s="690"/>
      <c r="H42" s="1126">
        <f>+'46-Utility1'!K27</f>
        <v>1230034.6300000008</v>
      </c>
    </row>
    <row r="43" spans="2:10" ht="21" customHeight="1" thickBot="1">
      <c r="B43" s="691"/>
      <c r="C43" s="691"/>
      <c r="D43" s="691"/>
      <c r="E43" s="691"/>
      <c r="F43" s="691"/>
      <c r="G43" s="1131"/>
      <c r="H43" s="1132"/>
    </row>
    <row r="44" spans="2:10" ht="21" customHeight="1" thickBot="1">
      <c r="B44" s="691" t="s">
        <v>3500</v>
      </c>
      <c r="C44" s="691"/>
      <c r="D44" s="691"/>
      <c r="E44" s="691"/>
      <c r="F44" s="691"/>
      <c r="G44" s="1133">
        <f>SUM(G12:G43)</f>
        <v>4353327.3600000013</v>
      </c>
      <c r="H44" s="1134">
        <f>SUM(H39:H43)</f>
        <v>4353327.3600000022</v>
      </c>
      <c r="J44" s="399">
        <f>G44-H44</f>
        <v>0</v>
      </c>
    </row>
    <row r="45" spans="2:10" ht="13.8" thickTop="1">
      <c r="B45" s="1765" t="s">
        <v>127</v>
      </c>
      <c r="C45" s="1765"/>
      <c r="D45" s="1765"/>
      <c r="E45" s="1765"/>
      <c r="F45" s="1765"/>
      <c r="G45" s="1765"/>
      <c r="H45" s="1765"/>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3.8">
      <c r="B50" s="1766" t="s">
        <v>3407</v>
      </c>
      <c r="C50" s="1766"/>
      <c r="D50" s="1766"/>
      <c r="E50" s="1766"/>
      <c r="F50" s="1766"/>
      <c r="G50" s="1766"/>
      <c r="H50" s="1766"/>
    </row>
    <row r="54" spans="2:8">
      <c r="H54" s="399"/>
    </row>
    <row r="57" spans="2:8">
      <c r="H57" s="399">
        <f>+H44-G44</f>
        <v>0</v>
      </c>
    </row>
  </sheetData>
  <sheetProtection algorithmName="SHA-512" hashValue="qReCeH6v+esGhnN7mPn4Go4WtN1B/vGJ1d4DvuyyHzHF4Tjytk43EVATTj2ojkOXJm0Db4wkRQ39oJqlTIWglw==" saltValue="l5QMz4H4g99FJhPR/j1hxg=="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6">
    <tabColor theme="6" tint="0.39997558519241921"/>
  </sheetPr>
  <dimension ref="B2:Q55"/>
  <sheetViews>
    <sheetView topLeftCell="A7" zoomScaleNormal="100" zoomScaleSheetLayoutView="80" workbookViewId="0">
      <selection activeCell="G24" sqref="G24"/>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2" spans="2:17">
      <c r="B2" s="1770" t="s">
        <v>37</v>
      </c>
      <c r="C2" s="1770"/>
      <c r="D2" s="1770"/>
      <c r="E2" s="1770"/>
      <c r="F2" s="1770"/>
      <c r="G2" s="1770"/>
      <c r="H2" s="1770"/>
    </row>
    <row r="3" spans="2:17">
      <c r="B3" s="1770" t="s">
        <v>572</v>
      </c>
      <c r="C3" s="1770"/>
      <c r="D3" s="1770"/>
      <c r="E3" s="1770"/>
      <c r="F3" s="1770"/>
      <c r="G3" s="1770"/>
      <c r="H3" s="1770"/>
    </row>
    <row r="5" spans="2:17" ht="22.8">
      <c r="B5" s="1771" t="s">
        <v>543</v>
      </c>
      <c r="C5" s="1771"/>
      <c r="D5" s="1771"/>
      <c r="E5" s="1771"/>
      <c r="F5" s="1771"/>
      <c r="G5" s="1771"/>
      <c r="H5" s="1771"/>
    </row>
    <row r="6" spans="2:17" ht="22.8">
      <c r="B6" s="1760" t="str">
        <f>"TRIAL  BALANCE - "&amp;UPPER('KEY INPUTS'!D52)&amp;"  UTILITY  FUND (cont'd)"</f>
        <v>TRIAL  BALANCE - WATER  UTILITY  FUND (cont'd)</v>
      </c>
      <c r="C6" s="1760"/>
      <c r="D6" s="1760"/>
      <c r="E6" s="1760"/>
      <c r="F6" s="1760"/>
      <c r="G6" s="1760"/>
      <c r="H6" s="1760"/>
    </row>
    <row r="7" spans="2:17" ht="15.6">
      <c r="B7" s="1772" t="str">
        <f>'KEY INPUTS'!D44</f>
        <v>AS  AT  DECEMBER  31, 2019</v>
      </c>
      <c r="C7" s="1773"/>
      <c r="D7" s="1773"/>
      <c r="E7" s="1773"/>
      <c r="F7" s="1773"/>
      <c r="G7" s="1773"/>
      <c r="H7" s="1773"/>
    </row>
    <row r="8" spans="2:17" ht="15.6">
      <c r="B8" s="1774" t="s">
        <v>573</v>
      </c>
      <c r="C8" s="1774"/>
      <c r="D8" s="1774"/>
      <c r="E8" s="1774"/>
      <c r="F8" s="1774"/>
      <c r="G8" s="1774"/>
      <c r="H8" s="1774"/>
    </row>
    <row r="9" spans="2:17">
      <c r="B9" s="1775" t="s">
        <v>79</v>
      </c>
      <c r="C9" s="1775"/>
      <c r="D9" s="1775"/>
      <c r="E9" s="1775"/>
      <c r="F9" s="1775"/>
      <c r="G9" s="1775"/>
      <c r="H9" s="1775"/>
    </row>
    <row r="10" spans="2:17" ht="15" customHeight="1" thickBot="1">
      <c r="B10" s="1776" t="s">
        <v>80</v>
      </c>
      <c r="C10" s="1776"/>
      <c r="D10" s="1776"/>
      <c r="E10" s="1776"/>
      <c r="F10" s="1776"/>
      <c r="G10" s="1776"/>
      <c r="H10" s="1776"/>
    </row>
    <row r="11" spans="2:17" ht="36" customHeight="1" thickTop="1" thickBot="1">
      <c r="B11" s="1777" t="s">
        <v>124</v>
      </c>
      <c r="C11" s="1777"/>
      <c r="D11" s="1777"/>
      <c r="E11" s="1777"/>
      <c r="F11" s="1778"/>
      <c r="G11" s="403" t="s">
        <v>125</v>
      </c>
      <c r="H11" s="1009" t="s">
        <v>126</v>
      </c>
    </row>
    <row r="12" spans="2:17" ht="21" customHeight="1" thickTop="1">
      <c r="G12" s="261"/>
      <c r="H12" s="262"/>
    </row>
    <row r="13" spans="2:17" ht="21" customHeight="1">
      <c r="B13" s="407" t="s">
        <v>809</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v>1450000</v>
      </c>
      <c r="H15" s="264" t="s">
        <v>788</v>
      </c>
      <c r="K15" s="377"/>
      <c r="L15" s="322"/>
      <c r="M15" s="322"/>
      <c r="N15" s="322"/>
      <c r="O15" s="322"/>
      <c r="P15" s="322"/>
      <c r="Q15" s="322"/>
    </row>
    <row r="16" spans="2:17" ht="21" customHeight="1">
      <c r="B16" s="402" t="s">
        <v>252</v>
      </c>
      <c r="C16" s="402"/>
      <c r="D16" s="402"/>
      <c r="E16" s="402"/>
      <c r="F16" s="402"/>
      <c r="G16" s="310" t="s">
        <v>788</v>
      </c>
      <c r="H16" s="311">
        <f>+G15</f>
        <v>1450000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v>3399494.11</v>
      </c>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402"/>
      <c r="C20" s="402" t="s">
        <v>1154</v>
      </c>
      <c r="D20" s="402"/>
      <c r="E20" s="402"/>
      <c r="F20" s="402"/>
      <c r="G20" s="372"/>
      <c r="H20" s="568"/>
      <c r="K20" s="322"/>
      <c r="L20" s="322"/>
      <c r="M20" s="322"/>
      <c r="N20" s="322"/>
      <c r="O20" s="322"/>
      <c r="P20" s="322"/>
      <c r="Q20" s="322"/>
    </row>
    <row r="21" spans="2:17" ht="21" customHeight="1">
      <c r="B21" s="402"/>
      <c r="C21" s="402" t="s">
        <v>810</v>
      </c>
      <c r="D21" s="402"/>
      <c r="E21" s="402"/>
      <c r="F21" s="402"/>
      <c r="G21" s="337"/>
      <c r="H21" s="350"/>
      <c r="K21" s="322"/>
      <c r="L21" s="322"/>
      <c r="M21" s="322"/>
      <c r="N21" s="322"/>
      <c r="O21" s="322"/>
      <c r="P21" s="322"/>
      <c r="Q21" s="322"/>
    </row>
    <row r="22" spans="2:17" ht="21" customHeight="1">
      <c r="B22" s="402"/>
      <c r="C22" s="402"/>
      <c r="D22" s="402" t="s">
        <v>104</v>
      </c>
      <c r="E22" s="402"/>
      <c r="F22" s="402"/>
      <c r="G22" s="372">
        <v>74961713.829999998</v>
      </c>
      <c r="H22" s="568"/>
      <c r="K22" s="322"/>
      <c r="L22" s="322"/>
      <c r="M22" s="322"/>
      <c r="N22" s="322"/>
      <c r="O22" s="322"/>
      <c r="P22" s="322"/>
      <c r="Q22" s="322"/>
    </row>
    <row r="23" spans="2:17" ht="21" customHeight="1">
      <c r="B23" s="402"/>
      <c r="C23" s="402"/>
      <c r="D23" s="402" t="s">
        <v>838</v>
      </c>
      <c r="E23" s="402"/>
      <c r="F23" s="402"/>
      <c r="G23" s="372">
        <v>7313288.3700000001</v>
      </c>
      <c r="H23" s="568"/>
      <c r="K23" s="322"/>
      <c r="L23" s="322"/>
      <c r="M23" s="322"/>
      <c r="N23" s="322"/>
      <c r="O23" s="322"/>
      <c r="P23" s="322"/>
      <c r="Q23" s="322"/>
    </row>
    <row r="24" spans="2:17" ht="21" customHeight="1">
      <c r="B24" s="402"/>
      <c r="C24" s="648"/>
      <c r="D24" s="648"/>
      <c r="E24" s="648"/>
      <c r="F24" s="648"/>
      <c r="G24" s="372"/>
      <c r="H24" s="589"/>
      <c r="K24" s="322"/>
      <c r="L24" s="322"/>
      <c r="M24" s="322"/>
      <c r="N24" s="322"/>
      <c r="O24" s="322"/>
      <c r="P24" s="322"/>
      <c r="Q24" s="322"/>
    </row>
    <row r="25" spans="2:17" ht="21" customHeight="1">
      <c r="B25" s="402"/>
      <c r="C25" s="648"/>
      <c r="D25" s="648"/>
      <c r="E25" s="648"/>
      <c r="F25" s="648"/>
      <c r="G25" s="372"/>
      <c r="H25" s="589" t="s">
        <v>3408</v>
      </c>
    </row>
    <row r="26" spans="2:17" ht="21" customHeight="1">
      <c r="B26" s="402"/>
      <c r="C26" s="649"/>
      <c r="D26" s="648"/>
      <c r="E26" s="648"/>
      <c r="F26" s="648"/>
      <c r="G26" s="372"/>
      <c r="H26" s="651"/>
    </row>
    <row r="27" spans="2:17" ht="21" customHeight="1">
      <c r="B27" s="402"/>
      <c r="C27" s="648"/>
      <c r="D27" s="648"/>
      <c r="E27" s="648"/>
      <c r="F27" s="648"/>
      <c r="G27" s="372"/>
      <c r="H27" s="589" t="s">
        <v>3408</v>
      </c>
    </row>
    <row r="28" spans="2:17" ht="21" customHeight="1">
      <c r="B28" s="402"/>
      <c r="C28" s="648"/>
      <c r="D28" s="648"/>
      <c r="E28" s="648"/>
      <c r="F28" s="648"/>
      <c r="G28" s="372"/>
      <c r="H28" s="589"/>
    </row>
    <row r="29" spans="2:17" ht="21" customHeight="1">
      <c r="B29" s="402"/>
      <c r="C29" s="648"/>
      <c r="D29" s="648"/>
      <c r="E29" s="648"/>
      <c r="F29" s="648"/>
      <c r="G29" s="372"/>
      <c r="H29" s="589"/>
      <c r="K29" s="322"/>
      <c r="L29" s="322"/>
      <c r="M29" s="322"/>
      <c r="N29" s="322"/>
      <c r="O29" s="322"/>
      <c r="P29" s="322"/>
      <c r="Q29" s="322"/>
    </row>
    <row r="30" spans="2:17" ht="21" customHeight="1">
      <c r="B30" s="402"/>
      <c r="C30" s="648"/>
      <c r="D30" s="648"/>
      <c r="E30" s="648"/>
      <c r="F30" s="648"/>
      <c r="G30" s="372"/>
      <c r="H30" s="589"/>
      <c r="K30" s="322"/>
      <c r="L30" s="322"/>
      <c r="M30" s="322"/>
      <c r="N30" s="322"/>
      <c r="O30" s="322"/>
      <c r="P30" s="322"/>
      <c r="Q30" s="322"/>
    </row>
    <row r="31" spans="2:17" ht="21" customHeight="1">
      <c r="B31" s="402"/>
      <c r="C31" s="648"/>
      <c r="D31" s="648"/>
      <c r="E31" s="648"/>
      <c r="F31" s="648"/>
      <c r="G31" s="372"/>
      <c r="H31" s="589" t="s">
        <v>3408</v>
      </c>
    </row>
    <row r="32" spans="2:17" ht="21" customHeight="1">
      <c r="B32" s="402"/>
      <c r="C32" s="649"/>
      <c r="D32" s="648"/>
      <c r="E32" s="648"/>
      <c r="F32" s="648"/>
      <c r="G32" s="372"/>
      <c r="H32" s="651"/>
    </row>
    <row r="33" spans="2:17" ht="21" customHeight="1">
      <c r="B33" s="402"/>
      <c r="C33" s="648"/>
      <c r="D33" s="648"/>
      <c r="E33" s="648"/>
      <c r="F33" s="648"/>
      <c r="G33" s="372"/>
      <c r="H33" s="589" t="s">
        <v>3408</v>
      </c>
    </row>
    <row r="34" spans="2:17" ht="21" customHeight="1">
      <c r="B34" s="402"/>
      <c r="C34" s="648"/>
      <c r="D34" s="648"/>
      <c r="E34" s="648"/>
      <c r="F34" s="648"/>
      <c r="G34" s="372"/>
      <c r="H34" s="589"/>
    </row>
    <row r="35" spans="2:17" ht="21" customHeight="1">
      <c r="B35" s="402"/>
      <c r="C35" s="648"/>
      <c r="D35" s="648"/>
      <c r="E35" s="648"/>
      <c r="F35" s="648"/>
      <c r="G35" s="372"/>
      <c r="H35" s="589"/>
      <c r="K35" s="322"/>
      <c r="L35" s="322"/>
      <c r="M35" s="322"/>
      <c r="N35" s="322"/>
      <c r="O35" s="322"/>
      <c r="P35" s="322"/>
      <c r="Q35" s="322"/>
    </row>
    <row r="36" spans="2:17" ht="21" customHeight="1">
      <c r="B36" s="402"/>
      <c r="C36" s="648"/>
      <c r="D36" s="648"/>
      <c r="E36" s="648"/>
      <c r="F36" s="648"/>
      <c r="G36" s="372"/>
      <c r="H36" s="589" t="s">
        <v>3408</v>
      </c>
    </row>
    <row r="37" spans="2:17" ht="21" customHeight="1">
      <c r="B37" s="402"/>
      <c r="C37" s="649"/>
      <c r="D37" s="648"/>
      <c r="E37" s="648"/>
      <c r="F37" s="648"/>
      <c r="G37" s="372"/>
      <c r="H37" s="651"/>
    </row>
    <row r="38" spans="2:17" ht="21" customHeight="1">
      <c r="B38" s="402"/>
      <c r="C38" s="648"/>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c r="D41" s="648"/>
      <c r="E41" s="648"/>
      <c r="F41" s="648"/>
      <c r="G41" s="372"/>
      <c r="H41" s="589" t="s">
        <v>3408</v>
      </c>
    </row>
    <row r="42" spans="2:17" ht="21" customHeight="1">
      <c r="B42" s="402"/>
      <c r="C42" s="648"/>
      <c r="D42" s="648"/>
      <c r="E42" s="648"/>
      <c r="F42" s="648"/>
      <c r="G42" s="372"/>
      <c r="H42" s="589" t="s">
        <v>3408</v>
      </c>
    </row>
    <row r="43" spans="2:17" ht="21" customHeight="1" thickBot="1">
      <c r="B43" s="402"/>
      <c r="C43" s="402"/>
      <c r="D43" s="402"/>
      <c r="E43" s="402"/>
      <c r="F43" s="402"/>
      <c r="G43" s="314"/>
      <c r="H43" s="405"/>
      <c r="I43" s="399"/>
      <c r="M43" s="399"/>
    </row>
    <row r="44" spans="2:17" ht="21" customHeight="1" thickBot="1">
      <c r="B44" s="402"/>
      <c r="C44" s="402" t="s">
        <v>3546</v>
      </c>
      <c r="D44" s="402"/>
      <c r="E44" s="402"/>
      <c r="F44" s="402"/>
      <c r="G44" s="343">
        <f>SUM(G15:G42)</f>
        <v>87124496.310000002</v>
      </c>
      <c r="H44" s="404">
        <f>SUM(H15:H43)</f>
        <v>1450000</v>
      </c>
      <c r="I44" s="399"/>
      <c r="K44" s="399"/>
    </row>
    <row r="45" spans="2:17" ht="13.8" thickTop="1">
      <c r="B45" s="1779" t="s">
        <v>127</v>
      </c>
      <c r="C45" s="1779"/>
      <c r="D45" s="1779"/>
      <c r="E45" s="1779"/>
      <c r="F45" s="1779"/>
      <c r="G45" s="1780"/>
      <c r="H45" s="1780"/>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3.8">
      <c r="B50" s="1766" t="s">
        <v>3413</v>
      </c>
      <c r="C50" s="1766"/>
      <c r="D50" s="1766"/>
      <c r="E50" s="1766"/>
      <c r="F50" s="1766"/>
      <c r="G50" s="1766"/>
      <c r="H50" s="1766"/>
    </row>
    <row r="55" spans="2:8">
      <c r="H55" s="399"/>
    </row>
  </sheetData>
  <sheetProtection algorithmName="SHA-512" hashValue="UYghL0j54PG9YTeY1h9uxdky3DcfDdnYTd9OPPQem/j4dglKgkpzA75HuoQmDUNoMWAOrTxMq7uOOwWVDuKsXg==" saltValue="XuevrPM1hvkeBOaS29u/YQ=="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7">
    <tabColor theme="6" tint="0.39997558519241921"/>
  </sheetPr>
  <dimension ref="B2:Q55"/>
  <sheetViews>
    <sheetView topLeftCell="B31" zoomScaleNormal="100" zoomScaleSheetLayoutView="80" workbookViewId="0">
      <selection activeCell="H28" sqref="H28"/>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2" spans="2:17">
      <c r="B2" s="1770" t="s">
        <v>37</v>
      </c>
      <c r="C2" s="1770"/>
      <c r="D2" s="1770"/>
      <c r="E2" s="1770"/>
      <c r="F2" s="1770"/>
      <c r="G2" s="1770"/>
      <c r="H2" s="1770"/>
    </row>
    <row r="3" spans="2:17">
      <c r="B3" s="1770" t="s">
        <v>572</v>
      </c>
      <c r="C3" s="1770"/>
      <c r="D3" s="1770"/>
      <c r="E3" s="1770"/>
      <c r="F3" s="1770"/>
      <c r="G3" s="1770"/>
      <c r="H3" s="1770"/>
    </row>
    <row r="5" spans="2:17" ht="22.8">
      <c r="B5" s="1771" t="s">
        <v>543</v>
      </c>
      <c r="C5" s="1771"/>
      <c r="D5" s="1771"/>
      <c r="E5" s="1771"/>
      <c r="F5" s="1771"/>
      <c r="G5" s="1771"/>
      <c r="H5" s="1771"/>
    </row>
    <row r="6" spans="2:17" ht="22.8">
      <c r="B6" s="1760" t="str">
        <f>"TRIAL  BALANCE - "&amp;UPPER('KEY INPUTS'!D52)&amp;"  UTILITY  FUND (cont'd)"</f>
        <v>TRIAL  BALANCE - WATER  UTILITY  FUND (cont'd)</v>
      </c>
      <c r="C6" s="1760"/>
      <c r="D6" s="1760"/>
      <c r="E6" s="1760"/>
      <c r="F6" s="1760"/>
      <c r="G6" s="1760"/>
      <c r="H6" s="1760"/>
    </row>
    <row r="7" spans="2:17" ht="15.6">
      <c r="B7" s="1772" t="str">
        <f>'KEY INPUTS'!D44</f>
        <v>AS  AT  DECEMBER  31, 2019</v>
      </c>
      <c r="C7" s="1773"/>
      <c r="D7" s="1773"/>
      <c r="E7" s="1773"/>
      <c r="F7" s="1773"/>
      <c r="G7" s="1773"/>
      <c r="H7" s="1773"/>
    </row>
    <row r="8" spans="2:17" ht="15.6">
      <c r="B8" s="1774" t="s">
        <v>573</v>
      </c>
      <c r="C8" s="1774"/>
      <c r="D8" s="1774"/>
      <c r="E8" s="1774"/>
      <c r="F8" s="1774"/>
      <c r="G8" s="1774"/>
      <c r="H8" s="1774"/>
    </row>
    <row r="9" spans="2:17">
      <c r="B9" s="1775" t="s">
        <v>79</v>
      </c>
      <c r="C9" s="1775"/>
      <c r="D9" s="1775"/>
      <c r="E9" s="1775"/>
      <c r="F9" s="1775"/>
      <c r="G9" s="1775"/>
      <c r="H9" s="1775"/>
    </row>
    <row r="10" spans="2:17" ht="15" customHeight="1" thickBot="1">
      <c r="B10" s="1776" t="s">
        <v>80</v>
      </c>
      <c r="C10" s="1776"/>
      <c r="D10" s="1776"/>
      <c r="E10" s="1776"/>
      <c r="F10" s="1776"/>
      <c r="G10" s="1776"/>
      <c r="H10" s="1776"/>
    </row>
    <row r="11" spans="2:17" ht="36" customHeight="1" thickTop="1" thickBot="1">
      <c r="B11" s="1777" t="s">
        <v>124</v>
      </c>
      <c r="C11" s="1777"/>
      <c r="D11" s="1777"/>
      <c r="E11" s="1777"/>
      <c r="F11" s="1778"/>
      <c r="G11" s="403" t="s">
        <v>125</v>
      </c>
      <c r="H11" s="1009" t="s">
        <v>126</v>
      </c>
    </row>
    <row r="12" spans="2:17" ht="21" customHeight="1" thickTop="1">
      <c r="B12" s="402"/>
      <c r="C12" s="402" t="s">
        <v>3547</v>
      </c>
      <c r="D12" s="402"/>
      <c r="E12" s="402"/>
      <c r="F12" s="402"/>
      <c r="G12" s="337">
        <f>'41a-Utility1'!G44</f>
        <v>87124496.310000002</v>
      </c>
      <c r="H12" s="311">
        <f>'41a-Utility1'!H44</f>
        <v>1450000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+'49-Utility1'!G22</f>
        <v>7180000</v>
      </c>
      <c r="K17" s="322"/>
      <c r="L17" s="322"/>
      <c r="M17" s="322"/>
      <c r="N17" s="322"/>
      <c r="O17" s="322"/>
      <c r="P17" s="322"/>
      <c r="Q17" s="322"/>
    </row>
    <row r="18" spans="2:17" ht="21" customHeight="1">
      <c r="B18" s="691"/>
      <c r="C18" s="691" t="s">
        <v>3680</v>
      </c>
      <c r="D18" s="691"/>
      <c r="E18" s="691"/>
      <c r="F18" s="691"/>
      <c r="G18" s="908"/>
      <c r="H18" s="915">
        <f>+'49a-Utility1'!G11+'49a-Utility1'!G22+'49a.1-Utility1'!G11+'49a.1-Utility1'!G22</f>
        <v>9831722.5</v>
      </c>
    </row>
    <row r="19" spans="2:17" ht="21" customHeight="1">
      <c r="B19" s="691"/>
      <c r="C19" s="691" t="s">
        <v>3690</v>
      </c>
      <c r="D19" s="691"/>
      <c r="E19" s="691"/>
      <c r="F19" s="691"/>
      <c r="G19" s="908"/>
      <c r="H19" s="915">
        <f>+'51a-Utility1'!G23</f>
        <v>0</v>
      </c>
      <c r="K19" s="322"/>
      <c r="L19" s="322"/>
      <c r="M19" s="322"/>
      <c r="N19" s="322"/>
      <c r="O19" s="322"/>
      <c r="P19" s="322"/>
      <c r="Q19" s="322"/>
    </row>
    <row r="20" spans="2:17" ht="21" customHeight="1">
      <c r="B20" s="691"/>
      <c r="C20" s="916" t="s">
        <v>3415</v>
      </c>
      <c r="D20" s="691"/>
      <c r="E20" s="691"/>
      <c r="F20" s="691"/>
      <c r="G20" s="908"/>
      <c r="H20" s="915">
        <f>+'50-Utility1'!G18</f>
        <v>2600000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+'52-Totals-Utility 1'!K27</f>
        <v>349896.39999999991</v>
      </c>
      <c r="J22" s="399"/>
      <c r="K22" s="322"/>
      <c r="L22" s="322"/>
      <c r="M22" s="322"/>
      <c r="N22" s="322"/>
      <c r="O22" s="322"/>
      <c r="P22" s="322"/>
      <c r="Q22" s="322"/>
    </row>
    <row r="23" spans="2:17" ht="21" customHeight="1">
      <c r="B23" s="691"/>
      <c r="C23" s="691"/>
      <c r="D23" s="691" t="s">
        <v>1003</v>
      </c>
      <c r="E23" s="691"/>
      <c r="F23" s="691"/>
      <c r="G23" s="908"/>
      <c r="H23" s="915">
        <f>+'52-Totals-Utility 1'!L27</f>
        <v>2129691.75</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v>1201668.6399999999</v>
      </c>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v>61213279.700000003</v>
      </c>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402"/>
      <c r="C40" s="402" t="s">
        <v>3483</v>
      </c>
      <c r="D40" s="402"/>
      <c r="E40" s="402"/>
      <c r="F40" s="402"/>
      <c r="G40" s="337"/>
      <c r="H40" s="311">
        <f>+'53-Utility1'!I41</f>
        <v>0</v>
      </c>
    </row>
    <row r="41" spans="2:13" ht="21" customHeight="1">
      <c r="B41" s="402"/>
      <c r="C41" s="402" t="s">
        <v>1006</v>
      </c>
      <c r="D41" s="402"/>
      <c r="E41" s="402"/>
      <c r="F41" s="402"/>
      <c r="G41" s="337"/>
      <c r="H41" s="311">
        <f>+'53-Utility1'!I24</f>
        <v>1157551.1200000001</v>
      </c>
    </row>
    <row r="42" spans="2:13" ht="21" customHeight="1">
      <c r="B42" s="402"/>
      <c r="C42" s="402" t="s">
        <v>808</v>
      </c>
      <c r="D42" s="402"/>
      <c r="E42" s="402"/>
      <c r="F42" s="402"/>
      <c r="G42" s="337"/>
      <c r="H42" s="311">
        <f>+'54-Utility1'!I42</f>
        <v>10686.2</v>
      </c>
    </row>
    <row r="43" spans="2:13" ht="21" customHeight="1" thickBot="1">
      <c r="B43" s="402"/>
      <c r="C43" s="402"/>
      <c r="D43" s="402"/>
      <c r="E43" s="402"/>
      <c r="F43" s="402"/>
      <c r="G43" s="314"/>
      <c r="H43" s="405"/>
      <c r="I43" s="399"/>
      <c r="M43" s="399"/>
    </row>
    <row r="44" spans="2:13" ht="21" customHeight="1" thickBot="1">
      <c r="B44" s="402"/>
      <c r="C44" s="402" t="s">
        <v>1001</v>
      </c>
      <c r="D44" s="402"/>
      <c r="E44" s="402"/>
      <c r="F44" s="402"/>
      <c r="G44" s="343">
        <f>SUM(G12:G42)</f>
        <v>87124496.310000002</v>
      </c>
      <c r="H44" s="404">
        <f>SUM(H12:H43)</f>
        <v>87124496.310000017</v>
      </c>
      <c r="I44" s="399"/>
      <c r="K44" s="399"/>
    </row>
    <row r="45" spans="2:13" ht="13.8" thickTop="1">
      <c r="B45" s="1779" t="s">
        <v>127</v>
      </c>
      <c r="C45" s="1779"/>
      <c r="D45" s="1779"/>
      <c r="E45" s="1779"/>
      <c r="F45" s="1779"/>
      <c r="G45" s="1780"/>
      <c r="H45" s="1780"/>
    </row>
    <row r="46" spans="2:13">
      <c r="B46" s="910"/>
      <c r="C46" s="910"/>
      <c r="D46" s="910"/>
      <c r="E46" s="910"/>
      <c r="F46" s="910"/>
      <c r="G46" s="910"/>
      <c r="H46" s="910"/>
    </row>
    <row r="47" spans="2:13">
      <c r="B47" s="910"/>
      <c r="C47" s="910"/>
      <c r="D47" s="910"/>
      <c r="E47" s="910"/>
      <c r="F47" s="910"/>
      <c r="G47" s="910"/>
      <c r="H47" s="910"/>
    </row>
    <row r="48" spans="2:13">
      <c r="B48" s="910"/>
      <c r="C48" s="910"/>
      <c r="D48" s="910"/>
      <c r="E48" s="910"/>
      <c r="F48" s="910"/>
      <c r="G48" s="910"/>
      <c r="H48" s="910"/>
    </row>
    <row r="49" spans="2:8">
      <c r="B49" s="910"/>
      <c r="C49" s="910"/>
      <c r="D49" s="910"/>
      <c r="E49" s="910"/>
      <c r="F49" s="910"/>
      <c r="G49" s="910"/>
      <c r="H49" s="910"/>
    </row>
    <row r="50" spans="2:8" ht="13.8">
      <c r="B50" s="1766" t="s">
        <v>3692</v>
      </c>
      <c r="C50" s="1766"/>
      <c r="D50" s="1766"/>
      <c r="E50" s="1766"/>
      <c r="F50" s="1766"/>
      <c r="G50" s="1766"/>
      <c r="H50" s="1766"/>
    </row>
    <row r="55" spans="2:8">
      <c r="H55" s="399"/>
    </row>
  </sheetData>
  <sheetProtection algorithmName="SHA-512" hashValue="ViB77j6oJ7CWA95vPk/dSrtekvQn9fR4o7WtbxYffT2ckFFd+nLcgLXZiR3+Y9rGJ/0Q6n6r42A1L3mFt2954g==" saltValue="9yqZUQxiCRWldE94cV74E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8">
    <tabColor theme="6" tint="0.39997558519241921"/>
  </sheetPr>
  <dimension ref="B3: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1140"/>
      <c r="H38" s="1128">
        <f>+'51-Utility1'!G23</f>
        <v>0</v>
      </c>
    </row>
    <row r="39" spans="2:8" ht="21" customHeight="1">
      <c r="B39" s="1139" t="s">
        <v>3485</v>
      </c>
      <c r="C39" s="1139"/>
      <c r="D39" s="1139"/>
      <c r="E39" s="1139"/>
      <c r="F39" s="1139"/>
      <c r="G39" s="1140"/>
      <c r="H39" s="1128">
        <f>+'49-Utility1'!G11</f>
        <v>0</v>
      </c>
    </row>
    <row r="40" spans="2:8" ht="21" customHeight="1">
      <c r="B40" s="1139" t="s">
        <v>1000</v>
      </c>
      <c r="C40" s="1139"/>
      <c r="D40" s="1139"/>
      <c r="E40" s="1139"/>
      <c r="F40" s="1139"/>
      <c r="G40" s="1140"/>
      <c r="H40" s="1128">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t="s">
        <v>1001</v>
      </c>
      <c r="C43" s="1141"/>
      <c r="D43" s="1141"/>
      <c r="E43" s="1141"/>
      <c r="F43" s="1141"/>
      <c r="G43" s="1107">
        <f>SUM(G11:G42)</f>
        <v>0</v>
      </c>
      <c r="H43" s="1142">
        <f>SUM(H11:H42)</f>
        <v>0</v>
      </c>
    </row>
    <row r="44" spans="2:8">
      <c r="B44" s="1788" t="s">
        <v>127</v>
      </c>
      <c r="C44" s="1788"/>
      <c r="D44" s="1788"/>
      <c r="E44" s="1788"/>
      <c r="F44" s="1788"/>
      <c r="G44" s="1788"/>
      <c r="H44" s="1788"/>
    </row>
    <row r="45" spans="2:8">
      <c r="B45" s="1143"/>
      <c r="C45" s="1143"/>
      <c r="D45" s="1143"/>
      <c r="E45" s="1143"/>
      <c r="F45" s="1143"/>
      <c r="G45" s="1143"/>
      <c r="H45" s="1143"/>
    </row>
    <row r="46" spans="2:8">
      <c r="B46" s="1143"/>
      <c r="C46" s="1143"/>
      <c r="D46" s="1143"/>
      <c r="E46" s="1143"/>
      <c r="F46" s="1143"/>
      <c r="G46" s="1143"/>
      <c r="H46" s="1143"/>
    </row>
    <row r="47" spans="2:8">
      <c r="B47" s="1143"/>
      <c r="C47" s="1143"/>
      <c r="D47" s="1143"/>
      <c r="E47" s="1143"/>
      <c r="F47" s="1143"/>
      <c r="G47" s="1143"/>
      <c r="H47" s="1143"/>
    </row>
    <row r="48" spans="2:8">
      <c r="B48" s="1143"/>
      <c r="C48" s="1143"/>
      <c r="D48" s="1143"/>
      <c r="E48" s="1143"/>
      <c r="F48" s="1143"/>
      <c r="G48" s="1143"/>
      <c r="H48" s="1143"/>
    </row>
    <row r="49" spans="2:8" ht="13.8">
      <c r="B49" s="1781" t="s">
        <v>3417</v>
      </c>
      <c r="C49" s="1781"/>
      <c r="D49" s="1781"/>
      <c r="E49" s="1781"/>
      <c r="F49" s="1781"/>
      <c r="G49" s="1781"/>
      <c r="H49" s="1781"/>
    </row>
  </sheetData>
  <sheetProtection password="CAF9"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3:K48"/>
  <sheetViews>
    <sheetView zoomScaleNormal="100" workbookViewId="0">
      <selection activeCell="B31" sqref="B31"/>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s>
  <sheetData>
    <row r="3" spans="2:11" ht="22.8">
      <c r="B3" s="1548" t="s">
        <v>543</v>
      </c>
      <c r="C3" s="1548"/>
      <c r="D3" s="1548"/>
      <c r="E3" s="1548"/>
      <c r="F3" s="1548"/>
      <c r="G3" s="1548"/>
      <c r="H3" s="1548"/>
    </row>
    <row r="4" spans="2:11" ht="22.8">
      <c r="B4" s="1548" t="s">
        <v>697</v>
      </c>
      <c r="C4" s="1548"/>
      <c r="D4" s="1548"/>
      <c r="E4" s="1548"/>
      <c r="F4" s="1548"/>
      <c r="G4" s="1548"/>
      <c r="H4" s="1548"/>
    </row>
    <row r="5" spans="2:11" ht="17.399999999999999">
      <c r="B5" s="1559" t="s">
        <v>781</v>
      </c>
      <c r="C5" s="1559"/>
      <c r="D5" s="1559"/>
      <c r="E5" s="1559"/>
      <c r="F5" s="1559"/>
      <c r="G5" s="1559"/>
      <c r="H5" s="1559"/>
    </row>
    <row r="6" spans="2:11" ht="15.6">
      <c r="B6" s="1555" t="str">
        <f>'KEY INPUTS'!D44</f>
        <v>AS  AT  DECEMBER  31, 2019</v>
      </c>
      <c r="C6" s="1509"/>
      <c r="D6" s="1509"/>
      <c r="E6" s="1509"/>
      <c r="F6" s="1509"/>
      <c r="G6" s="1509"/>
      <c r="H6" s="1509"/>
    </row>
    <row r="7" spans="2:11" ht="13.8" thickBot="1"/>
    <row r="8" spans="2:11" ht="36" customHeight="1" thickTop="1" thickBot="1">
      <c r="B8" s="1552" t="s">
        <v>124</v>
      </c>
      <c r="C8" s="1552"/>
      <c r="D8" s="1552"/>
      <c r="E8" s="1552"/>
      <c r="F8" s="1553"/>
      <c r="G8" s="4" t="s">
        <v>125</v>
      </c>
      <c r="H8" s="3" t="s">
        <v>126</v>
      </c>
    </row>
    <row r="9" spans="2:11" ht="21" customHeight="1" thickTop="1">
      <c r="B9" s="841"/>
      <c r="C9" s="841"/>
      <c r="D9" s="841"/>
      <c r="E9" s="841"/>
      <c r="F9" s="841"/>
      <c r="G9" s="842"/>
      <c r="H9" s="843"/>
      <c r="I9" s="743"/>
    </row>
    <row r="10" spans="2:11" ht="21" customHeight="1">
      <c r="B10" s="845" t="s">
        <v>3516</v>
      </c>
      <c r="C10" s="640"/>
      <c r="D10" s="640"/>
      <c r="E10" s="640"/>
      <c r="F10" s="640"/>
      <c r="G10" s="844"/>
      <c r="H10" s="664"/>
    </row>
    <row r="11" spans="2:11" ht="21" customHeight="1">
      <c r="B11" s="640"/>
      <c r="C11" s="845" t="s">
        <v>459</v>
      </c>
      <c r="D11" s="640"/>
      <c r="E11" s="640"/>
      <c r="F11" s="640"/>
      <c r="G11" s="844">
        <f>+'9-Cash Reconciliation'!I12</f>
        <v>71436.69</v>
      </c>
      <c r="H11" s="664"/>
      <c r="I11" s="743"/>
    </row>
    <row r="12" spans="2:11" ht="21" customHeight="1">
      <c r="B12" s="566"/>
      <c r="C12" s="567" t="s">
        <v>3480</v>
      </c>
      <c r="D12" s="566"/>
      <c r="E12" s="566"/>
      <c r="F12" s="566"/>
      <c r="G12" s="374"/>
      <c r="H12" s="578"/>
    </row>
    <row r="13" spans="2:11" ht="21" customHeight="1">
      <c r="B13" s="1562" t="s">
        <v>3967</v>
      </c>
      <c r="C13" s="1562"/>
      <c r="D13" s="1562"/>
      <c r="E13" s="1562"/>
      <c r="F13" s="1563"/>
      <c r="G13" s="374">
        <v>295261.87</v>
      </c>
      <c r="H13" s="578"/>
    </row>
    <row r="14" spans="2:11" ht="21" customHeight="1">
      <c r="B14" s="1562" t="s">
        <v>3968</v>
      </c>
      <c r="C14" s="1562"/>
      <c r="D14" s="1562"/>
      <c r="E14" s="1562"/>
      <c r="F14" s="1563"/>
      <c r="G14" s="374"/>
      <c r="H14" s="578">
        <v>366698.56</v>
      </c>
      <c r="K14" s="377"/>
    </row>
    <row r="15" spans="2:11" ht="21" customHeight="1">
      <c r="B15" s="1562"/>
      <c r="C15" s="1562"/>
      <c r="D15" s="1562"/>
      <c r="E15" s="1562"/>
      <c r="F15" s="1563"/>
      <c r="G15" s="374"/>
      <c r="H15" s="578"/>
    </row>
    <row r="16" spans="2:11" ht="21" customHeight="1" thickBot="1">
      <c r="B16" s="1562"/>
      <c r="C16" s="1562"/>
      <c r="D16" s="1562"/>
      <c r="E16" s="1562"/>
      <c r="F16" s="1563"/>
      <c r="G16" s="374"/>
      <c r="H16" s="578"/>
    </row>
    <row r="17" spans="2:8" ht="21" customHeight="1" thickTop="1" thickBot="1">
      <c r="B17" s="847"/>
      <c r="C17" s="837" t="s">
        <v>3512</v>
      </c>
      <c r="D17" s="847"/>
      <c r="E17" s="847"/>
      <c r="F17" s="847"/>
      <c r="G17" s="848">
        <f>SUM(G9:G16)</f>
        <v>366698.56</v>
      </c>
      <c r="H17" s="852">
        <f>SUM(H9:H16)</f>
        <v>366698.56</v>
      </c>
    </row>
    <row r="18" spans="2:8" ht="21" customHeight="1" thickTop="1">
      <c r="B18" s="640"/>
      <c r="C18" s="640"/>
      <c r="D18" s="640"/>
      <c r="E18" s="640"/>
      <c r="F18" s="640"/>
      <c r="G18" s="844"/>
      <c r="H18" s="664"/>
    </row>
    <row r="19" spans="2:8" ht="21" customHeight="1">
      <c r="B19" s="845" t="s">
        <v>3517</v>
      </c>
      <c r="C19" s="640"/>
      <c r="D19" s="640"/>
      <c r="E19" s="640"/>
      <c r="F19" s="640"/>
      <c r="G19" s="844"/>
      <c r="H19" s="664"/>
    </row>
    <row r="20" spans="2:8" ht="21" customHeight="1">
      <c r="B20" s="640"/>
      <c r="C20" s="845" t="s">
        <v>459</v>
      </c>
      <c r="D20" s="640"/>
      <c r="E20" s="640"/>
      <c r="F20" s="640"/>
      <c r="G20" s="844">
        <f>+'9-Cash Reconciliation'!I13</f>
        <v>5605165.7499999991</v>
      </c>
      <c r="H20" s="664"/>
    </row>
    <row r="21" spans="2:8" ht="21" customHeight="1">
      <c r="B21" s="566"/>
      <c r="C21" s="566" t="s">
        <v>4010</v>
      </c>
      <c r="D21" s="566"/>
      <c r="E21" s="566"/>
      <c r="F21" s="566"/>
      <c r="G21" s="374">
        <v>59117.86</v>
      </c>
      <c r="H21" s="578"/>
    </row>
    <row r="22" spans="2:8" ht="21" customHeight="1">
      <c r="B22" s="566" t="s">
        <v>4011</v>
      </c>
      <c r="C22" s="566"/>
      <c r="D22" s="566"/>
      <c r="E22" s="566"/>
      <c r="F22" s="566"/>
      <c r="G22" s="374"/>
      <c r="H22" s="578"/>
    </row>
    <row r="23" spans="2:8" ht="21" customHeight="1">
      <c r="B23" s="566" t="s">
        <v>3974</v>
      </c>
      <c r="C23" s="566"/>
      <c r="D23" s="566"/>
      <c r="E23" s="566"/>
      <c r="F23" s="566"/>
      <c r="G23" s="374"/>
      <c r="H23" s="578">
        <v>98040</v>
      </c>
    </row>
    <row r="24" spans="2:8" ht="21" customHeight="1">
      <c r="B24" s="566" t="s">
        <v>3975</v>
      </c>
      <c r="C24" s="566"/>
      <c r="D24" s="566"/>
      <c r="E24" s="566"/>
      <c r="F24" s="566"/>
      <c r="G24" s="374"/>
      <c r="H24" s="578">
        <v>471596.96</v>
      </c>
    </row>
    <row r="25" spans="2:8" ht="21" customHeight="1">
      <c r="B25" s="566" t="s">
        <v>3976</v>
      </c>
      <c r="C25" s="566"/>
      <c r="D25" s="566"/>
      <c r="E25" s="566"/>
      <c r="F25" s="566"/>
      <c r="G25" s="374"/>
      <c r="H25" s="578">
        <v>24188.6</v>
      </c>
    </row>
    <row r="26" spans="2:8" ht="21" customHeight="1">
      <c r="B26" s="566" t="s">
        <v>3977</v>
      </c>
      <c r="C26" s="566"/>
      <c r="D26" s="566"/>
      <c r="E26" s="566"/>
      <c r="F26" s="566"/>
      <c r="G26" s="575"/>
      <c r="H26" s="578">
        <v>518504.68999999994</v>
      </c>
    </row>
    <row r="27" spans="2:8" s="322" customFormat="1" ht="21" customHeight="1">
      <c r="B27" s="566" t="s">
        <v>3978</v>
      </c>
      <c r="C27" s="566"/>
      <c r="D27" s="566"/>
      <c r="E27" s="566"/>
      <c r="F27" s="566"/>
      <c r="G27" s="374"/>
      <c r="H27" s="578">
        <v>380184.45000000007</v>
      </c>
    </row>
    <row r="28" spans="2:8" s="322" customFormat="1" ht="21" customHeight="1">
      <c r="B28" s="566" t="s">
        <v>3979</v>
      </c>
      <c r="C28" s="566"/>
      <c r="D28" s="566"/>
      <c r="E28" s="566"/>
      <c r="F28" s="566"/>
      <c r="G28" s="374"/>
      <c r="H28" s="578">
        <v>59547.229999999996</v>
      </c>
    </row>
    <row r="29" spans="2:8" s="322" customFormat="1" ht="21" customHeight="1">
      <c r="B29" s="566" t="s">
        <v>3980</v>
      </c>
      <c r="C29" s="566"/>
      <c r="D29" s="566"/>
      <c r="E29" s="566"/>
      <c r="F29" s="566"/>
      <c r="G29" s="374"/>
      <c r="H29" s="578">
        <v>374651.4</v>
      </c>
    </row>
    <row r="30" spans="2:8" s="322" customFormat="1" ht="21" customHeight="1">
      <c r="B30" s="566" t="s">
        <v>4013</v>
      </c>
      <c r="C30" s="566"/>
      <c r="D30" s="566"/>
      <c r="E30" s="566"/>
      <c r="F30" s="566"/>
      <c r="G30" s="374"/>
      <c r="H30" s="578">
        <v>60625.88</v>
      </c>
    </row>
    <row r="31" spans="2:8" ht="21" customHeight="1">
      <c r="B31" s="566" t="s">
        <v>4012</v>
      </c>
      <c r="C31" s="566"/>
      <c r="D31" s="566"/>
      <c r="E31" s="566"/>
      <c r="F31" s="566"/>
      <c r="G31" s="374"/>
      <c r="H31" s="578">
        <v>39939.22</v>
      </c>
    </row>
    <row r="32" spans="2:8" ht="21" customHeight="1">
      <c r="B32" s="566"/>
      <c r="C32" s="566"/>
      <c r="D32" s="566"/>
      <c r="E32" s="566"/>
      <c r="F32" s="566"/>
      <c r="G32" s="374"/>
      <c r="H32" s="578"/>
    </row>
    <row r="33" spans="2:8" ht="21" customHeight="1">
      <c r="B33" s="566"/>
      <c r="C33" s="566"/>
      <c r="D33" s="566"/>
      <c r="E33" s="566"/>
      <c r="F33" s="566"/>
      <c r="G33" s="374"/>
      <c r="H33" s="578"/>
    </row>
    <row r="34" spans="2:8" ht="21" customHeight="1">
      <c r="B34" s="566" t="s">
        <v>3988</v>
      </c>
      <c r="C34" s="566"/>
      <c r="D34" s="566"/>
      <c r="E34" s="566"/>
      <c r="F34" s="566"/>
      <c r="G34" s="374"/>
      <c r="H34" s="578">
        <v>3637005.1799999992</v>
      </c>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5" t="s">
        <v>3533</v>
      </c>
      <c r="C44" s="640"/>
      <c r="D44" s="640"/>
      <c r="E44" s="640"/>
      <c r="F44" s="640"/>
      <c r="G44" s="844">
        <f>SUM(G20:G43)</f>
        <v>5664283.6099999994</v>
      </c>
      <c r="H44" s="853">
        <f>SUM(H20:H43)</f>
        <v>5664283.6099999994</v>
      </c>
    </row>
    <row r="45" spans="2:8">
      <c r="B45" s="1560" t="s">
        <v>127</v>
      </c>
      <c r="C45" s="1560"/>
      <c r="D45" s="1560"/>
      <c r="E45" s="1560"/>
      <c r="F45" s="1560"/>
      <c r="G45" s="1560"/>
      <c r="H45" s="1560"/>
    </row>
    <row r="46" spans="2:8">
      <c r="B46" s="854"/>
      <c r="C46" s="854"/>
      <c r="D46" s="854"/>
      <c r="E46" s="854"/>
      <c r="F46" s="854"/>
      <c r="G46" s="854"/>
      <c r="H46" s="854"/>
    </row>
    <row r="47" spans="2:8">
      <c r="B47" s="855"/>
      <c r="C47" s="855"/>
      <c r="D47" s="855"/>
      <c r="E47" s="855"/>
      <c r="F47" s="855"/>
      <c r="G47" s="855"/>
      <c r="H47" s="855"/>
    </row>
    <row r="48" spans="2:8" ht="13.8">
      <c r="B48" s="1561" t="s">
        <v>180</v>
      </c>
      <c r="C48" s="1561"/>
      <c r="D48" s="1561"/>
      <c r="E48" s="1561"/>
      <c r="F48" s="1561"/>
      <c r="G48" s="1561"/>
      <c r="H48" s="1561"/>
    </row>
  </sheetData>
  <sheetProtection algorithmName="SHA-512" hashValue="u2dblDc3oRR3skG2RbNqmZXtl3aYmoXcjkXCAP0NrS4o9w2Bu0YuHcFfUMpOx0irNMAfwRjmehGWIHV3pE+o8A==" saltValue="EEwTyxrJ7Jj5rSfkmXZ8ew==" spinCount="100000" sheet="1" objects="1" scenarios="1"/>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9">
    <tabColor theme="6" tint="0.39997558519241921"/>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INPUTS'!D52)&amp;" UTILITY  ASSESSMENT  TRUST  CASH  AND  INVESTMENTS"</f>
        <v>ANALYSIS  OF WATER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0">
    <tabColor theme="6" tint="0.39997558519241921"/>
  </sheetPr>
  <dimension ref="B2:T55"/>
  <sheetViews>
    <sheetView topLeftCell="A10" zoomScaleNormal="100" zoomScaleSheetLayoutView="80" workbookViewId="0">
      <selection activeCell="J34" sqref="J34"/>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2" spans="2:20" ht="22.8">
      <c r="B2" s="1760" t="str">
        <f>"SCHEDULE  OF "&amp;UPPER('KEY INPUTS'!D52)&amp;" UTILITY  BUDGET  -  "&amp;TEXT('KEY INPUTS'!D34,"0")&amp;""</f>
        <v>SCHEDULE  OF WATER UTILITY  BUDGET  -  2019</v>
      </c>
      <c r="C2" s="1760"/>
      <c r="D2" s="1760"/>
      <c r="E2" s="1760"/>
      <c r="F2" s="1760"/>
      <c r="G2" s="1760"/>
      <c r="H2" s="1760"/>
      <c r="I2" s="1760"/>
      <c r="J2" s="1760"/>
    </row>
    <row r="3" spans="2:20" ht="12" customHeight="1">
      <c r="B3" s="462"/>
      <c r="C3" s="462"/>
      <c r="D3" s="462"/>
      <c r="E3" s="462"/>
      <c r="F3" s="462"/>
      <c r="G3" s="462"/>
      <c r="H3" s="462"/>
      <c r="I3" s="462"/>
      <c r="J3" s="462"/>
    </row>
    <row r="4" spans="2:20" ht="17.25" customHeight="1" thickBot="1">
      <c r="B4" s="1798" t="s">
        <v>1056</v>
      </c>
      <c r="C4" s="1798"/>
      <c r="D4" s="1798"/>
      <c r="E4" s="1798"/>
      <c r="F4" s="1798"/>
      <c r="G4" s="1798"/>
      <c r="H4" s="1798"/>
      <c r="I4" s="1798"/>
      <c r="J4" s="1798"/>
    </row>
    <row r="5" spans="2:20" ht="13.8" thickTop="1">
      <c r="B5" s="1794" t="s">
        <v>211</v>
      </c>
      <c r="C5" s="1794"/>
      <c r="D5" s="1794"/>
      <c r="E5" s="1794"/>
      <c r="F5" s="1794"/>
      <c r="G5" s="1795"/>
      <c r="H5" s="461" t="s">
        <v>677</v>
      </c>
      <c r="I5" s="461" t="s">
        <v>804</v>
      </c>
      <c r="J5" s="460" t="s">
        <v>424</v>
      </c>
    </row>
    <row r="6" spans="2:20" ht="13.8" thickBot="1">
      <c r="B6" s="1796"/>
      <c r="C6" s="1796"/>
      <c r="D6" s="1796"/>
      <c r="E6" s="1796"/>
      <c r="F6" s="1796"/>
      <c r="G6" s="1797"/>
      <c r="H6" s="459"/>
      <c r="I6" s="459" t="s">
        <v>423</v>
      </c>
      <c r="J6" s="458" t="s">
        <v>425</v>
      </c>
    </row>
    <row r="7" spans="2:20" ht="21" customHeight="1" thickTop="1">
      <c r="B7" s="457" t="s">
        <v>3435</v>
      </c>
      <c r="C7" s="457"/>
      <c r="D7" s="457"/>
      <c r="E7" s="457"/>
      <c r="F7" s="457"/>
      <c r="G7" s="456" t="s">
        <v>3434</v>
      </c>
      <c r="H7" s="605">
        <v>1573814</v>
      </c>
      <c r="I7" s="455">
        <f>H7</f>
        <v>1573814</v>
      </c>
      <c r="J7" s="454">
        <f>+I7-H7</f>
        <v>0</v>
      </c>
    </row>
    <row r="8" spans="2:20" ht="10.5" customHeight="1">
      <c r="B8" s="427" t="s">
        <v>3433</v>
      </c>
      <c r="G8" s="1011"/>
      <c r="H8" s="452"/>
      <c r="I8" s="452"/>
      <c r="J8" s="262"/>
    </row>
    <row r="9" spans="2:20">
      <c r="B9" s="451" t="s">
        <v>214</v>
      </c>
      <c r="C9" s="451"/>
      <c r="D9" s="451"/>
      <c r="E9" s="451"/>
      <c r="F9" s="451"/>
      <c r="G9" s="446" t="s">
        <v>3432</v>
      </c>
      <c r="H9" s="653"/>
      <c r="I9" s="653"/>
      <c r="J9" s="251">
        <f t="shared" ref="J9:J15" si="0">+I9-H9</f>
        <v>0</v>
      </c>
    </row>
    <row r="10" spans="2:20" ht="21" customHeight="1">
      <c r="B10" s="648" t="s">
        <v>3955</v>
      </c>
      <c r="C10" s="648"/>
      <c r="D10" s="648"/>
      <c r="E10" s="648"/>
      <c r="F10" s="648"/>
      <c r="G10" s="1168"/>
      <c r="H10" s="782">
        <v>9400000</v>
      </c>
      <c r="I10" s="782">
        <v>8564484.5999999996</v>
      </c>
      <c r="J10" s="450">
        <f t="shared" si="0"/>
        <v>-835515.40000000037</v>
      </c>
      <c r="N10" s="322"/>
      <c r="O10" s="322"/>
      <c r="P10" s="322"/>
      <c r="Q10" s="322"/>
      <c r="R10" s="322"/>
      <c r="S10" s="322"/>
      <c r="T10" s="322"/>
    </row>
    <row r="11" spans="2:20" ht="21" customHeight="1">
      <c r="B11" s="648" t="s">
        <v>3956</v>
      </c>
      <c r="C11" s="648"/>
      <c r="D11" s="648"/>
      <c r="E11" s="648"/>
      <c r="F11" s="648"/>
      <c r="G11" s="1168"/>
      <c r="H11" s="782">
        <v>135000</v>
      </c>
      <c r="I11" s="782">
        <v>325099.67</v>
      </c>
      <c r="J11" s="263">
        <f t="shared" si="0"/>
        <v>190099.66999999998</v>
      </c>
      <c r="N11" s="322"/>
      <c r="O11" s="322"/>
      <c r="P11" s="322"/>
      <c r="Q11" s="322"/>
      <c r="R11" s="322"/>
      <c r="S11" s="322"/>
      <c r="T11" s="322"/>
    </row>
    <row r="12" spans="2:20" ht="21" customHeight="1">
      <c r="B12" s="648" t="s">
        <v>3957</v>
      </c>
      <c r="C12" s="648"/>
      <c r="D12" s="648"/>
      <c r="E12" s="648"/>
      <c r="F12" s="648"/>
      <c r="G12" s="1168"/>
      <c r="H12" s="782">
        <v>487000</v>
      </c>
      <c r="I12" s="782">
        <v>1479921.24</v>
      </c>
      <c r="J12" s="263">
        <f t="shared" si="0"/>
        <v>992921.24</v>
      </c>
      <c r="N12" s="377"/>
      <c r="O12" s="322"/>
      <c r="P12" s="322"/>
      <c r="Q12" s="322"/>
      <c r="R12" s="322"/>
      <c r="S12" s="322"/>
      <c r="T12" s="322"/>
    </row>
    <row r="13" spans="2:20" ht="21" customHeight="1">
      <c r="B13" s="648"/>
      <c r="C13" s="648"/>
      <c r="D13" s="648"/>
      <c r="E13" s="648"/>
      <c r="F13" s="648"/>
      <c r="G13" s="1168"/>
      <c r="H13" s="782"/>
      <c r="I13" s="782"/>
      <c r="J13" s="263">
        <f t="shared" si="0"/>
        <v>0</v>
      </c>
      <c r="N13" s="322"/>
      <c r="O13" s="322"/>
      <c r="P13" s="322"/>
      <c r="Q13" s="322"/>
      <c r="R13" s="322"/>
      <c r="S13" s="322"/>
      <c r="T13" s="322"/>
    </row>
    <row r="14" spans="2:20" ht="21" customHeight="1">
      <c r="B14" s="648"/>
      <c r="C14" s="648"/>
      <c r="D14" s="648"/>
      <c r="E14" s="648"/>
      <c r="F14" s="648"/>
      <c r="G14" s="1168"/>
      <c r="H14" s="782"/>
      <c r="I14" s="782"/>
      <c r="J14" s="263">
        <f t="shared" si="0"/>
        <v>0</v>
      </c>
      <c r="N14" s="322"/>
      <c r="O14" s="322"/>
      <c r="P14" s="322"/>
      <c r="Q14" s="322"/>
      <c r="R14" s="322"/>
      <c r="S14" s="322"/>
      <c r="T14" s="322"/>
    </row>
    <row r="15" spans="2:20" ht="21" customHeight="1">
      <c r="B15" s="402" t="s">
        <v>3431</v>
      </c>
      <c r="C15" s="402"/>
      <c r="D15" s="402"/>
      <c r="E15" s="402"/>
      <c r="F15" s="402"/>
      <c r="G15" s="446" t="s">
        <v>3427</v>
      </c>
      <c r="H15" s="782"/>
      <c r="I15" s="782"/>
      <c r="J15" s="263">
        <f t="shared" si="0"/>
        <v>0</v>
      </c>
      <c r="N15" s="322"/>
      <c r="O15" s="322"/>
      <c r="P15" s="322"/>
      <c r="Q15" s="322"/>
      <c r="R15" s="322"/>
      <c r="S15" s="322"/>
      <c r="T15" s="322"/>
    </row>
    <row r="16" spans="2:20" ht="21" customHeight="1">
      <c r="B16" s="402" t="s">
        <v>3430</v>
      </c>
      <c r="C16" s="402"/>
      <c r="D16" s="402"/>
      <c r="E16" s="402"/>
      <c r="F16" s="402"/>
      <c r="G16" s="446"/>
      <c r="H16" s="782"/>
      <c r="I16" s="782"/>
      <c r="J16" s="263"/>
      <c r="N16" s="322"/>
      <c r="O16" s="322"/>
      <c r="P16" s="322"/>
      <c r="Q16" s="322"/>
      <c r="R16" s="322"/>
      <c r="S16" s="322"/>
      <c r="T16" s="322"/>
    </row>
    <row r="17" spans="2:20" ht="21" customHeight="1">
      <c r="B17" s="402" t="s">
        <v>422</v>
      </c>
      <c r="C17" s="402"/>
      <c r="D17" s="402"/>
      <c r="E17" s="402"/>
      <c r="F17" s="402"/>
      <c r="G17" s="446"/>
      <c r="H17" s="310" t="s">
        <v>788</v>
      </c>
      <c r="I17" s="310" t="s">
        <v>788</v>
      </c>
      <c r="J17" s="264" t="s">
        <v>788</v>
      </c>
      <c r="N17" s="322"/>
      <c r="O17" s="322"/>
      <c r="P17" s="322"/>
      <c r="Q17" s="322"/>
      <c r="R17" s="322"/>
      <c r="S17" s="322"/>
      <c r="T17" s="322"/>
    </row>
    <row r="18" spans="2:20" ht="21" customHeight="1">
      <c r="B18" s="648"/>
      <c r="C18" s="648"/>
      <c r="D18" s="648"/>
      <c r="E18" s="648"/>
      <c r="F18" s="648"/>
      <c r="G18" s="648"/>
      <c r="H18" s="601"/>
      <c r="I18" s="601"/>
      <c r="J18" s="263">
        <f t="shared" ref="J18:J19" si="1">+I18-H18</f>
        <v>0</v>
      </c>
      <c r="N18" s="322"/>
      <c r="O18" s="322"/>
      <c r="P18" s="322"/>
      <c r="Q18" s="322"/>
      <c r="R18" s="322"/>
      <c r="S18" s="322"/>
      <c r="T18" s="322"/>
    </row>
    <row r="19" spans="2:20" ht="21" customHeight="1" thickBot="1">
      <c r="B19" s="648"/>
      <c r="C19" s="648"/>
      <c r="D19" s="648"/>
      <c r="E19" s="648"/>
      <c r="F19" s="648"/>
      <c r="G19" s="648"/>
      <c r="H19" s="627"/>
      <c r="I19" s="627"/>
      <c r="J19" s="473">
        <f t="shared" si="1"/>
        <v>0</v>
      </c>
      <c r="N19" s="322"/>
      <c r="O19" s="322"/>
      <c r="P19" s="322"/>
      <c r="Q19" s="322"/>
      <c r="R19" s="322"/>
      <c r="S19" s="322"/>
      <c r="T19" s="322"/>
    </row>
    <row r="20" spans="2:20" ht="21" customHeight="1" thickTop="1">
      <c r="B20" s="402"/>
      <c r="C20" s="402"/>
      <c r="D20" s="402" t="s">
        <v>421</v>
      </c>
      <c r="E20" s="402"/>
      <c r="F20" s="402"/>
      <c r="G20" s="449"/>
      <c r="H20" s="448">
        <f>SUM(H7:H19)</f>
        <v>11595814</v>
      </c>
      <c r="I20" s="448">
        <f>SUM(I7:I19)</f>
        <v>11943319.51</v>
      </c>
      <c r="J20" s="251">
        <f>SUM(J7:J19)</f>
        <v>347505.50999999954</v>
      </c>
      <c r="N20" s="322"/>
      <c r="O20" s="322"/>
      <c r="P20" s="322"/>
      <c r="Q20" s="322"/>
      <c r="R20" s="322"/>
      <c r="S20" s="322"/>
      <c r="T20" s="322"/>
    </row>
    <row r="21" spans="2:20" ht="21" customHeight="1" thickBot="1">
      <c r="B21" s="402" t="s">
        <v>3429</v>
      </c>
      <c r="C21" s="447"/>
      <c r="D21" s="447"/>
      <c r="E21" s="402"/>
      <c r="F21" s="402"/>
      <c r="G21" s="446" t="s">
        <v>3428</v>
      </c>
      <c r="H21" s="655"/>
      <c r="I21" s="655"/>
      <c r="J21" s="262">
        <f>I21-H21</f>
        <v>0</v>
      </c>
      <c r="N21" s="322"/>
      <c r="O21" s="322"/>
      <c r="P21" s="322"/>
      <c r="Q21" s="322"/>
      <c r="R21" s="322"/>
      <c r="S21" s="322"/>
      <c r="T21" s="322"/>
    </row>
    <row r="22" spans="2:20" ht="21" customHeight="1" thickTop="1" thickBot="1">
      <c r="G22" s="445" t="s">
        <v>3427</v>
      </c>
      <c r="H22" s="444">
        <f>+H20+H21</f>
        <v>11595814</v>
      </c>
      <c r="I22" s="444">
        <f>+I20+I21</f>
        <v>11943319.51</v>
      </c>
      <c r="J22" s="443">
        <f>+J20+J21</f>
        <v>347505.50999999954</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798" t="s">
        <v>426</v>
      </c>
      <c r="C27" s="1798"/>
      <c r="D27" s="1798"/>
      <c r="E27" s="1798"/>
      <c r="F27" s="1798"/>
      <c r="G27" s="1798"/>
      <c r="H27" s="1798"/>
      <c r="I27" s="1798"/>
      <c r="J27" s="1798"/>
    </row>
    <row r="28" spans="2:20" ht="21" customHeight="1" thickTop="1">
      <c r="B28" s="442" t="s">
        <v>427</v>
      </c>
      <c r="C28" s="441"/>
      <c r="D28" s="441"/>
      <c r="E28" s="441"/>
      <c r="F28" s="441"/>
      <c r="G28" s="441"/>
      <c r="H28" s="441"/>
      <c r="I28" s="440"/>
      <c r="J28" s="341" t="s">
        <v>788</v>
      </c>
    </row>
    <row r="29" spans="2:20" ht="21" customHeight="1">
      <c r="B29" s="438"/>
      <c r="C29" s="437" t="s">
        <v>222</v>
      </c>
      <c r="D29" s="437"/>
      <c r="E29" s="437"/>
      <c r="F29" s="437"/>
      <c r="G29" s="437"/>
      <c r="H29" s="437"/>
      <c r="I29" s="439"/>
      <c r="J29" s="656">
        <v>11595814</v>
      </c>
    </row>
    <row r="30" spans="2:20" ht="21" customHeight="1">
      <c r="B30" s="438"/>
      <c r="C30" s="437" t="s">
        <v>428</v>
      </c>
      <c r="D30" s="437"/>
      <c r="E30" s="437"/>
      <c r="F30" s="437"/>
      <c r="G30" s="437"/>
      <c r="H30" s="437"/>
      <c r="I30" s="439"/>
      <c r="J30" s="656"/>
    </row>
    <row r="31" spans="2:20" ht="21" customHeight="1" thickBot="1">
      <c r="B31" s="438"/>
      <c r="C31" s="437" t="s">
        <v>429</v>
      </c>
      <c r="D31" s="437"/>
      <c r="E31" s="437"/>
      <c r="F31" s="437"/>
      <c r="G31" s="437"/>
      <c r="H31" s="437"/>
      <c r="I31" s="439"/>
      <c r="J31" s="658"/>
    </row>
    <row r="32" spans="2:20" ht="21" customHeight="1" thickTop="1">
      <c r="B32" s="438" t="s">
        <v>430</v>
      </c>
      <c r="C32" s="437"/>
      <c r="D32" s="437"/>
      <c r="E32" s="437"/>
      <c r="F32" s="437"/>
      <c r="G32" s="437"/>
      <c r="H32" s="437"/>
      <c r="I32" s="436"/>
      <c r="J32" s="433">
        <f>SUM(J29:J31)</f>
        <v>11595814</v>
      </c>
    </row>
    <row r="33" spans="2:13" ht="21" customHeight="1" thickBot="1">
      <c r="B33" s="438" t="s">
        <v>431</v>
      </c>
      <c r="C33" s="437"/>
      <c r="D33" s="437"/>
      <c r="E33" s="437"/>
      <c r="F33" s="437"/>
      <c r="G33" s="437"/>
      <c r="H33" s="437"/>
      <c r="I33" s="436"/>
      <c r="J33" s="658">
        <v>6400</v>
      </c>
    </row>
    <row r="34" spans="2:13" ht="21" customHeight="1" thickTop="1">
      <c r="B34" s="438" t="s">
        <v>917</v>
      </c>
      <c r="C34" s="437"/>
      <c r="D34" s="437"/>
      <c r="E34" s="437"/>
      <c r="F34" s="437"/>
      <c r="G34" s="437"/>
      <c r="H34" s="437"/>
      <c r="I34" s="436"/>
      <c r="J34" s="433">
        <f>+J32+J33</f>
        <v>11602214</v>
      </c>
    </row>
    <row r="35" spans="2:13" ht="21" customHeight="1">
      <c r="B35" s="438" t="s">
        <v>432</v>
      </c>
      <c r="C35" s="437"/>
      <c r="D35" s="437"/>
      <c r="E35" s="437"/>
      <c r="F35" s="437"/>
      <c r="G35" s="437"/>
      <c r="H35" s="437"/>
      <c r="I35" s="436"/>
      <c r="J35" s="435"/>
    </row>
    <row r="36" spans="2:13" ht="21" customHeight="1">
      <c r="B36" s="430"/>
      <c r="C36" s="430" t="s">
        <v>754</v>
      </c>
      <c r="D36" s="430"/>
      <c r="E36" s="430"/>
      <c r="F36" s="430"/>
      <c r="G36" s="430"/>
      <c r="H36" s="430"/>
      <c r="I36" s="659">
        <f>9575559.11+420497.04</f>
        <v>9996056.1499999985</v>
      </c>
      <c r="J36" s="434"/>
    </row>
    <row r="37" spans="2:13" ht="21" customHeight="1">
      <c r="B37" s="430"/>
      <c r="C37" s="430" t="s">
        <v>921</v>
      </c>
      <c r="D37" s="430"/>
      <c r="E37" s="430"/>
      <c r="F37" s="430"/>
      <c r="G37" s="430"/>
      <c r="H37" s="430"/>
      <c r="I37" s="659">
        <v>1597972.57</v>
      </c>
      <c r="J37" s="434"/>
    </row>
    <row r="38" spans="2:13" ht="21" customHeight="1" thickBot="1">
      <c r="B38" s="430" t="s">
        <v>433</v>
      </c>
      <c r="C38" s="430"/>
      <c r="D38" s="430"/>
      <c r="E38" s="430"/>
      <c r="F38" s="430"/>
      <c r="G38" s="430"/>
      <c r="H38" s="430"/>
      <c r="I38" s="660"/>
      <c r="J38" s="656"/>
      <c r="M38" s="399"/>
    </row>
    <row r="39" spans="2:13" ht="21" customHeight="1" thickTop="1" thickBot="1">
      <c r="B39" s="430" t="s">
        <v>922</v>
      </c>
      <c r="C39" s="430"/>
      <c r="D39" s="430"/>
      <c r="E39" s="430"/>
      <c r="F39" s="430"/>
      <c r="G39" s="430"/>
      <c r="H39" s="430"/>
      <c r="I39" s="432"/>
      <c r="J39" s="431">
        <f>SUM(I36:I38)</f>
        <v>11594028.719999999</v>
      </c>
    </row>
    <row r="40" spans="2:13" ht="21" customHeight="1" thickTop="1" thickBot="1">
      <c r="B40" s="430" t="s">
        <v>434</v>
      </c>
      <c r="C40" s="430"/>
      <c r="D40" s="430"/>
      <c r="E40" s="430"/>
      <c r="F40" s="430"/>
      <c r="G40" s="430"/>
      <c r="H40" s="430"/>
      <c r="I40" s="429"/>
      <c r="J40" s="428">
        <f>+J34-J39</f>
        <v>8185.2800000011921</v>
      </c>
      <c r="K40" s="399"/>
    </row>
    <row r="41" spans="2:13" ht="13.8"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3.8">
      <c r="B55" s="1766" t="s">
        <v>3419</v>
      </c>
      <c r="C55" s="1766"/>
      <c r="D55" s="1766"/>
      <c r="E55" s="1766"/>
      <c r="F55" s="1766"/>
      <c r="G55" s="1766"/>
      <c r="H55" s="1766"/>
      <c r="I55" s="1766"/>
      <c r="J55" s="1766"/>
    </row>
  </sheetData>
  <sheetProtection algorithmName="SHA-512" hashValue="MSEVyGT9tzhloolRjULOwtXCRhxEj+NPRISddzpOefT8BSFKi5jZhmizIGQI6dMy/PCnyAyELX1ubUzwsP/lRw==" saltValue="QDveTsEymud/EjjqLGo2Rw=="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1">
    <tabColor theme="6" tint="0.39997558519241921"/>
  </sheetPr>
  <dimension ref="B3:T57"/>
  <sheetViews>
    <sheetView topLeftCell="A10" zoomScaleNormal="100" zoomScaleSheetLayoutView="80" workbookViewId="0">
      <selection activeCell="C27" sqref="C27"/>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3" spans="2:20" ht="22.8">
      <c r="B3" s="1771" t="str">
        <f>"STATEMENT  OF  "&amp;TEXT('KEY INPUTS'!D34,"0")&amp;"  OPERATION"</f>
        <v>STATEMENT  OF  2019  OPERATION</v>
      </c>
      <c r="C3" s="1771"/>
      <c r="D3" s="1771"/>
      <c r="E3" s="1771"/>
      <c r="F3" s="1771"/>
      <c r="G3" s="1771"/>
      <c r="H3" s="1771"/>
      <c r="I3" s="1771"/>
      <c r="J3" s="1771"/>
      <c r="K3" s="1771"/>
    </row>
    <row r="5" spans="2:20" ht="20.399999999999999">
      <c r="B5" s="1789" t="str">
        <f>UPPER('KEY INPUTS'!D52)&amp;" UTILITY"</f>
        <v>WATER UTILITY</v>
      </c>
      <c r="C5" s="1789"/>
      <c r="D5" s="1789"/>
      <c r="E5" s="1789"/>
      <c r="F5" s="1789"/>
      <c r="G5" s="1789"/>
      <c r="H5" s="1789"/>
      <c r="I5" s="1789"/>
      <c r="J5" s="1789"/>
      <c r="K5" s="1789"/>
    </row>
    <row r="8" spans="2:20">
      <c r="B8" s="1116" t="s">
        <v>408</v>
      </c>
      <c r="C8" s="1191" t="str">
        <f>"Section 1 of this sheet is required to be filled out ONLY IF the "&amp;TEXT('KEY INPUTS'!D34,"0")&amp;" "&amp;PROPER('KEY INPUTS'!D52)&amp;" Utility Budget contained"</f>
        <v>Section 1 of this sheet is required to be filled out ONLY IF the 2019 Water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464"/>
      <c r="N15" s="322"/>
      <c r="O15" s="322"/>
      <c r="P15" s="322"/>
      <c r="Q15" s="322"/>
      <c r="R15" s="322"/>
      <c r="S15" s="322"/>
      <c r="T15" s="322"/>
    </row>
    <row r="16" spans="2:20" ht="21" customHeight="1">
      <c r="B16" s="691"/>
      <c r="C16" s="691" t="s">
        <v>439</v>
      </c>
      <c r="D16" s="691"/>
      <c r="E16" s="691"/>
      <c r="F16" s="691"/>
      <c r="G16" s="691"/>
      <c r="H16" s="691"/>
      <c r="I16" s="691"/>
      <c r="J16" s="844">
        <f>+'44-Utility1'!I20</f>
        <v>11943319.51</v>
      </c>
      <c r="K16" s="464"/>
      <c r="N16" s="322"/>
      <c r="O16" s="322"/>
      <c r="P16" s="322"/>
      <c r="Q16" s="322"/>
      <c r="R16" s="322"/>
      <c r="S16" s="322"/>
      <c r="T16" s="322"/>
    </row>
    <row r="17" spans="2:20" ht="21" customHeight="1">
      <c r="B17" s="691"/>
      <c r="C17" s="691" t="s">
        <v>440</v>
      </c>
      <c r="D17" s="691"/>
      <c r="E17" s="691"/>
      <c r="F17" s="691"/>
      <c r="G17" s="691"/>
      <c r="H17" s="691"/>
      <c r="I17" s="691"/>
      <c r="J17" s="575">
        <v>5931.99</v>
      </c>
      <c r="K17" s="464"/>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254869.2</v>
      </c>
      <c r="K18" s="464"/>
      <c r="N18" s="322"/>
      <c r="O18" s="322"/>
      <c r="P18" s="322"/>
      <c r="Q18" s="322"/>
      <c r="R18" s="322"/>
      <c r="S18" s="322"/>
      <c r="T18" s="322"/>
    </row>
    <row r="19" spans="2:20" ht="21" customHeight="1">
      <c r="B19" s="402"/>
      <c r="C19" s="648" t="s">
        <v>3962</v>
      </c>
      <c r="D19" s="648"/>
      <c r="E19" s="648"/>
      <c r="F19" s="648"/>
      <c r="G19" s="648"/>
      <c r="H19" s="648"/>
      <c r="I19" s="648"/>
      <c r="J19" s="374">
        <v>159497.47</v>
      </c>
      <c r="K19" s="464"/>
      <c r="N19" s="322"/>
      <c r="O19" s="322"/>
      <c r="P19" s="322"/>
      <c r="Q19" s="322"/>
      <c r="R19" s="322"/>
      <c r="S19" s="322"/>
      <c r="T19" s="322"/>
    </row>
    <row r="20" spans="2:20" ht="21" customHeight="1">
      <c r="B20" s="402"/>
      <c r="C20" s="648"/>
      <c r="D20" s="648"/>
      <c r="E20" s="648"/>
      <c r="F20" s="648"/>
      <c r="G20" s="648"/>
      <c r="H20" s="648"/>
      <c r="I20" s="648"/>
      <c r="J20" s="374"/>
      <c r="K20" s="464"/>
      <c r="N20" s="322"/>
      <c r="O20" s="322"/>
      <c r="P20" s="322"/>
      <c r="Q20" s="322"/>
      <c r="R20" s="322"/>
      <c r="S20" s="322"/>
      <c r="T20" s="322"/>
    </row>
    <row r="21" spans="2:20" ht="21" customHeight="1">
      <c r="B21" s="691"/>
      <c r="C21" s="691" t="s">
        <v>441</v>
      </c>
      <c r="D21" s="691"/>
      <c r="E21" s="691"/>
      <c r="F21" s="691"/>
      <c r="G21" s="691"/>
      <c r="H21" s="691"/>
      <c r="I21" s="691"/>
      <c r="J21" s="1175"/>
      <c r="K21" s="853">
        <f>SUM(J16:J20)</f>
        <v>12363618.17</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+'44-Utility1'!I36</f>
        <v>9996056.1499999985</v>
      </c>
      <c r="K24" s="843"/>
      <c r="N24" s="322"/>
      <c r="O24" s="322"/>
      <c r="P24" s="322"/>
      <c r="Q24" s="322"/>
      <c r="R24" s="322"/>
      <c r="S24" s="322"/>
      <c r="T24" s="322"/>
    </row>
    <row r="25" spans="2:20" ht="21" customHeight="1">
      <c r="B25" s="691"/>
      <c r="C25" s="691"/>
      <c r="D25" s="691" t="s">
        <v>921</v>
      </c>
      <c r="E25" s="691"/>
      <c r="F25" s="691"/>
      <c r="G25" s="691"/>
      <c r="H25" s="691"/>
      <c r="I25" s="691"/>
      <c r="J25" s="844">
        <f>+'44-Utility1'!I37</f>
        <v>1597972.57</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v>100</v>
      </c>
      <c r="K27" s="843"/>
      <c r="N27" s="322"/>
      <c r="O27" s="322"/>
      <c r="P27" s="322"/>
      <c r="Q27" s="322"/>
      <c r="R27" s="322"/>
      <c r="S27" s="322"/>
      <c r="T27" s="322"/>
    </row>
    <row r="28" spans="2:20" ht="21" customHeight="1" thickBot="1">
      <c r="B28" s="691"/>
      <c r="C28" s="648"/>
      <c r="D28" s="647"/>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11594128.719999999</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11594128.719999999</v>
      </c>
    </row>
    <row r="33" spans="2:15" ht="21" customHeight="1" thickTop="1" thickBot="1">
      <c r="B33" s="1184" t="s">
        <v>954</v>
      </c>
      <c r="C33" s="1184"/>
      <c r="D33" s="1184"/>
      <c r="E33" s="1184"/>
      <c r="F33" s="1184"/>
      <c r="G33" s="1184"/>
      <c r="H33" s="1184"/>
      <c r="I33" s="1184"/>
      <c r="J33" s="1185"/>
      <c r="K33" s="1186">
        <f>IF(M33&gt;0,M33,0)</f>
        <v>769489.45000000112</v>
      </c>
      <c r="M33" s="399">
        <f>+K21-K32</f>
        <v>769489.45000000112</v>
      </c>
      <c r="N33" s="711" t="s">
        <v>3666</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1179"/>
      <c r="K35" s="843"/>
    </row>
    <row r="36" spans="2:15" ht="12.75" customHeight="1" thickBot="1">
      <c r="B36" s="1802"/>
      <c r="C36" s="1802"/>
      <c r="D36" s="1802"/>
      <c r="E36" s="1130" t="s">
        <v>3784</v>
      </c>
      <c r="F36" s="1130"/>
      <c r="G36" s="1130"/>
      <c r="H36" s="1130"/>
      <c r="I36" s="1130"/>
      <c r="J36" s="1181">
        <f>+K33-J34</f>
        <v>769489.45000000112</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+'44-Utility1'!I21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J42" s="464"/>
      <c r="K42" s="464"/>
    </row>
    <row r="43" spans="2:15" ht="17.399999999999999">
      <c r="B43" s="1170" t="s">
        <v>959</v>
      </c>
      <c r="C43" s="1116"/>
      <c r="D43" s="1116"/>
      <c r="E43" s="1116"/>
      <c r="J43" s="464"/>
      <c r="K43" s="464"/>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INPUTS'!D52)&amp;" Utility for "&amp;TEXT('KEY INPUTS'!D34,"0")&amp;""</f>
        <v>Water Utility for 2019</v>
      </c>
      <c r="C46" s="1116"/>
      <c r="D46" s="1116"/>
      <c r="E46" s="1116"/>
      <c r="F46" s="1116"/>
      <c r="G46" s="1116"/>
      <c r="H46" s="1116"/>
      <c r="I46" s="1116"/>
      <c r="J46" s="843"/>
      <c r="K46" s="843"/>
      <c r="O46"/>
    </row>
    <row r="47" spans="2:15">
      <c r="J47" s="464"/>
      <c r="K47" s="464"/>
      <c r="O47"/>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v>254869.2</v>
      </c>
      <c r="K48" s="843"/>
      <c r="O48"/>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row>
    <row r="50" spans="2:15" ht="21" customHeight="1">
      <c r="B50" s="691" t="s">
        <v>960</v>
      </c>
      <c r="C50" s="691"/>
      <c r="D50" s="691"/>
      <c r="E50" s="691"/>
      <c r="F50" s="691"/>
      <c r="G50" s="691"/>
      <c r="H50" s="691"/>
      <c r="I50" s="691"/>
      <c r="J50" s="664"/>
      <c r="K50" s="853">
        <f>+J48-J49</f>
        <v>254869.2</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2">
    <tabColor theme="6" tint="0.39997558519241921"/>
  </sheetPr>
  <dimension ref="B2:Z52"/>
  <sheetViews>
    <sheetView topLeftCell="A22" zoomScaleNormal="100" zoomScaleSheetLayoutView="80" workbookViewId="0">
      <selection activeCell="L45" sqref="L45"/>
    </sheetView>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2" spans="2:26" ht="20.399999999999999">
      <c r="B2" s="1789" t="str">
        <f>"RESULTS  OF  "&amp;TEXT('KEY INPUTS'!D34,"0")&amp;"  OPERATIONS  - "&amp;UPPER('KEY INPUTS'!D52)&amp;" UTILITY"</f>
        <v>RESULTS  OF  2019  OPERATIONS  - WATER UTILITY</v>
      </c>
      <c r="C2" s="1789"/>
      <c r="D2" s="1789"/>
      <c r="E2" s="1789"/>
      <c r="F2" s="1789"/>
      <c r="G2" s="1789"/>
      <c r="H2" s="1789"/>
      <c r="I2" s="1789"/>
      <c r="J2" s="1789"/>
      <c r="K2" s="1789"/>
      <c r="L2" s="1789"/>
    </row>
    <row r="3" spans="2:26" ht="13.8" thickBot="1"/>
    <row r="4" spans="2:26" ht="21" customHeight="1" thickTop="1" thickBot="1">
      <c r="B4" s="475"/>
      <c r="C4" s="475"/>
      <c r="D4" s="475"/>
      <c r="E4" s="475"/>
      <c r="F4" s="475"/>
      <c r="G4" s="475"/>
      <c r="H4" s="475"/>
      <c r="I4" s="475"/>
      <c r="J4" s="475"/>
      <c r="K4" s="1117" t="s">
        <v>125</v>
      </c>
      <c r="L4" s="1118" t="s">
        <v>126</v>
      </c>
    </row>
    <row r="5" spans="2:26" ht="21" customHeight="1" thickTop="1">
      <c r="B5" s="1212" t="s">
        <v>270</v>
      </c>
      <c r="C5" s="1172"/>
      <c r="D5" s="1172"/>
      <c r="E5" s="1172"/>
      <c r="F5" s="1172"/>
      <c r="G5" s="1172"/>
      <c r="H5" s="1172"/>
      <c r="I5" s="457"/>
      <c r="J5" s="457"/>
      <c r="K5" s="1204" t="s">
        <v>788</v>
      </c>
      <c r="L5" s="1205">
        <f>IF(+'44-Utility1'!J20&gt;0,+'44-Utility1'!J22,0)</f>
        <v>347505.50999999954</v>
      </c>
      <c r="N5" s="322"/>
      <c r="O5" s="322"/>
      <c r="P5" s="322"/>
      <c r="Q5" s="322"/>
      <c r="R5" s="322"/>
      <c r="S5" s="322"/>
      <c r="T5" s="322"/>
    </row>
    <row r="6" spans="2:26" ht="21" customHeight="1">
      <c r="B6" s="697" t="s">
        <v>271</v>
      </c>
      <c r="C6" s="691"/>
      <c r="D6" s="691"/>
      <c r="E6" s="691"/>
      <c r="F6" s="691"/>
      <c r="G6" s="691"/>
      <c r="H6" s="691"/>
      <c r="I6" s="402"/>
      <c r="J6" s="402"/>
      <c r="K6" s="1206" t="s">
        <v>788</v>
      </c>
      <c r="L6" s="1207">
        <f>+'44-Utility1'!J40</f>
        <v>8185.2800000011921</v>
      </c>
      <c r="M6" s="740"/>
      <c r="N6" s="322"/>
      <c r="O6" s="322"/>
      <c r="P6" s="322"/>
      <c r="Q6" s="322"/>
      <c r="R6" s="322"/>
      <c r="S6" s="322"/>
      <c r="T6" s="322"/>
    </row>
    <row r="7" spans="2:26" ht="21" customHeight="1">
      <c r="B7" s="697" t="s">
        <v>272</v>
      </c>
      <c r="C7" s="691"/>
      <c r="D7" s="691"/>
      <c r="E7" s="691"/>
      <c r="F7" s="691"/>
      <c r="G7" s="691"/>
      <c r="H7" s="691"/>
      <c r="I7" s="402"/>
      <c r="J7" s="402"/>
      <c r="K7" s="1206" t="s">
        <v>788</v>
      </c>
      <c r="L7" s="1126">
        <f>'45-Utility1'!J17</f>
        <v>5931.99</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402"/>
      <c r="J8" s="402"/>
      <c r="K8" s="1206" t="s">
        <v>788</v>
      </c>
      <c r="L8" s="1126">
        <f>+'45-Utility1'!K50</f>
        <v>254869.2</v>
      </c>
      <c r="N8" s="322"/>
      <c r="O8" s="322"/>
      <c r="P8" s="322"/>
      <c r="Q8" s="322"/>
      <c r="R8" s="322"/>
      <c r="S8" s="322"/>
      <c r="T8" s="322"/>
    </row>
    <row r="9" spans="2:26" ht="21" customHeight="1">
      <c r="B9" s="706" t="s">
        <v>3962</v>
      </c>
      <c r="C9" s="648"/>
      <c r="D9" s="648"/>
      <c r="E9" s="648"/>
      <c r="F9" s="648"/>
      <c r="G9" s="648"/>
      <c r="H9" s="648"/>
      <c r="I9" s="402"/>
      <c r="J9" s="402"/>
      <c r="K9" s="659"/>
      <c r="L9" s="609">
        <f>+'45-Utility1'!J19</f>
        <v>159497.47</v>
      </c>
      <c r="N9" s="322"/>
      <c r="O9" s="322"/>
      <c r="P9" s="322"/>
      <c r="Q9" s="322"/>
      <c r="R9" s="322"/>
      <c r="S9" s="322"/>
      <c r="T9" s="322"/>
      <c r="V9" s="467"/>
    </row>
    <row r="10" spans="2:26" ht="21" customHeight="1">
      <c r="B10" s="398" t="s">
        <v>3443</v>
      </c>
      <c r="K10" s="1200"/>
      <c r="L10" s="1208" t="s">
        <v>788</v>
      </c>
      <c r="M10" s="1210">
        <f>+L9+L8+L7+L6+L5-K11-K10-K9</f>
        <v>775889.45000000077</v>
      </c>
      <c r="N10" s="711" t="s">
        <v>3667</v>
      </c>
      <c r="O10" s="322"/>
      <c r="P10" s="322"/>
      <c r="Q10" s="322"/>
      <c r="R10" s="322"/>
      <c r="S10" s="322"/>
      <c r="T10" s="322"/>
      <c r="V10" s="824"/>
    </row>
    <row r="11" spans="2:26" ht="21" customHeight="1">
      <c r="B11" s="703" t="s">
        <v>3963</v>
      </c>
      <c r="C11" s="1201"/>
      <c r="D11" s="648"/>
      <c r="E11" s="648"/>
      <c r="F11" s="648"/>
      <c r="G11" s="648"/>
      <c r="H11" s="648"/>
      <c r="I11" s="402"/>
      <c r="J11" s="402"/>
      <c r="K11" s="601">
        <f>+'45-Utility1'!J27</f>
        <v>100</v>
      </c>
      <c r="L11" s="1208" t="s">
        <v>788</v>
      </c>
      <c r="N11" s="322"/>
      <c r="O11" s="322"/>
      <c r="P11" s="322"/>
      <c r="Q11" s="322"/>
      <c r="R11" s="322"/>
      <c r="S11" s="322"/>
      <c r="T11" s="322"/>
      <c r="U11"/>
      <c r="V11" s="286"/>
      <c r="W11"/>
      <c r="X11"/>
      <c r="Y11"/>
      <c r="Z11"/>
    </row>
    <row r="12" spans="2:26" ht="21" customHeight="1">
      <c r="B12" s="697" t="s">
        <v>273</v>
      </c>
      <c r="C12" s="1174"/>
      <c r="D12" s="691"/>
      <c r="E12" s="691"/>
      <c r="F12" s="691"/>
      <c r="G12" s="691"/>
      <c r="H12" s="691"/>
      <c r="I12" s="691"/>
      <c r="J12" s="402"/>
      <c r="K12" s="1206" t="s">
        <v>788</v>
      </c>
      <c r="L12" s="1207">
        <f>IF(M10&gt;0,0,M10*-1)</f>
        <v>0</v>
      </c>
      <c r="N12" s="322"/>
      <c r="O12" s="322"/>
      <c r="P12" s="322"/>
      <c r="Q12" s="322"/>
      <c r="R12" s="322"/>
      <c r="S12" s="322"/>
      <c r="T12" s="322"/>
      <c r="U12"/>
      <c r="V12" s="286"/>
      <c r="W12"/>
      <c r="X12"/>
      <c r="Y12"/>
      <c r="Z12"/>
    </row>
    <row r="13" spans="2:26" ht="21" customHeight="1" thickBot="1">
      <c r="B13" s="697" t="s">
        <v>274</v>
      </c>
      <c r="C13" s="1174"/>
      <c r="D13" s="691"/>
      <c r="E13" s="691"/>
      <c r="F13" s="691"/>
      <c r="G13" s="691"/>
      <c r="H13" s="691"/>
      <c r="I13" s="691"/>
      <c r="J13" s="402"/>
      <c r="K13" s="690">
        <f>IF(M10&gt;0,M10,0)</f>
        <v>775889.45000000077</v>
      </c>
      <c r="L13" s="1209" t="s">
        <v>788</v>
      </c>
      <c r="M13" s="399"/>
      <c r="N13" s="322"/>
      <c r="O13" s="322"/>
      <c r="P13" s="322"/>
      <c r="Q13" s="322"/>
      <c r="R13" s="322"/>
      <c r="S13" s="322"/>
      <c r="T13" s="322"/>
      <c r="U13"/>
      <c r="V13" s="825"/>
      <c r="W13"/>
      <c r="X13"/>
      <c r="Y13"/>
      <c r="Z13"/>
    </row>
    <row r="14" spans="2:26" ht="21" customHeight="1" thickBot="1">
      <c r="B14" s="1211" t="s">
        <v>3442</v>
      </c>
      <c r="C14" s="1116"/>
      <c r="D14" s="1116"/>
      <c r="E14" s="1116"/>
      <c r="F14" s="1116"/>
      <c r="G14" s="1116"/>
      <c r="H14" s="1116"/>
      <c r="I14" s="1116"/>
      <c r="K14" s="1133">
        <f>SUM(K5:K13)</f>
        <v>775989.45000000077</v>
      </c>
      <c r="L14" s="1134">
        <f>SUM(L5:L13)</f>
        <v>775989.45000000065</v>
      </c>
      <c r="M14" s="1210">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INPUTS'!D52)&amp;" UTILITY"</f>
        <v>OPERATING  SURPLUS  - WATER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204" t="s">
        <v>788</v>
      </c>
      <c r="L20" s="639">
        <v>2027959.18</v>
      </c>
      <c r="N20" s="322"/>
      <c r="O20" s="322"/>
      <c r="P20" s="322"/>
      <c r="Q20" s="322"/>
      <c r="R20" s="322"/>
      <c r="S20" s="322"/>
      <c r="T20" s="322"/>
    </row>
    <row r="21" spans="2:20" ht="21" customHeight="1">
      <c r="B21" s="1202"/>
      <c r="C21" s="648"/>
      <c r="D21" s="648"/>
      <c r="E21" s="648"/>
      <c r="F21" s="648"/>
      <c r="G21" s="648"/>
      <c r="H21" s="648"/>
      <c r="I21" s="648"/>
      <c r="J21" s="648"/>
      <c r="K21" s="1200"/>
      <c r="L21" s="631"/>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206" t="s">
        <v>788</v>
      </c>
      <c r="L22" s="1214">
        <f>+K13</f>
        <v>775889.45000000077</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690">
        <f>'44-Utility1'!I7</f>
        <v>1573814</v>
      </c>
      <c r="L23" s="1208"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808"/>
      <c r="L24" s="1810" t="s">
        <v>788</v>
      </c>
    </row>
    <row r="25" spans="2:20" ht="12.75" customHeight="1">
      <c r="B25" s="1130" t="s">
        <v>1066</v>
      </c>
      <c r="C25" s="1130"/>
      <c r="D25" s="1130"/>
      <c r="E25" s="1130"/>
      <c r="F25" s="1130"/>
      <c r="G25" s="1130"/>
      <c r="H25" s="1130"/>
      <c r="I25" s="1130"/>
      <c r="J25" s="1130"/>
      <c r="K25" s="1809"/>
      <c r="L25" s="1811"/>
    </row>
    <row r="26" spans="2:20" ht="21" customHeight="1">
      <c r="B26" s="1202"/>
      <c r="C26" s="648"/>
      <c r="D26" s="648"/>
      <c r="E26" s="648"/>
      <c r="F26" s="648"/>
      <c r="G26" s="648"/>
      <c r="H26" s="648"/>
      <c r="I26" s="648"/>
      <c r="J26" s="648"/>
      <c r="K26" s="601"/>
      <c r="L26" s="1203"/>
    </row>
    <row r="27" spans="2:20" ht="21" customHeight="1" thickBot="1">
      <c r="B27" s="691" t="str">
        <f>'KEY INPUTS'!D26</f>
        <v>Balance - December 31, 2019</v>
      </c>
      <c r="C27" s="691"/>
      <c r="D27" s="691"/>
      <c r="E27" s="691"/>
      <c r="F27" s="691"/>
      <c r="G27" s="691"/>
      <c r="H27" s="691"/>
      <c r="I27" s="691"/>
      <c r="J27" s="691"/>
      <c r="K27" s="1131">
        <f>+SUM(L20:L26)-SUM(K21:K26)</f>
        <v>1230034.6300000008</v>
      </c>
      <c r="L27" s="1209" t="s">
        <v>788</v>
      </c>
      <c r="N27" s="778" t="s">
        <v>3530</v>
      </c>
    </row>
    <row r="28" spans="2:20" ht="21" customHeight="1" thickBot="1">
      <c r="K28" s="1133">
        <f>SUM(K21:K27)</f>
        <v>2803848.6300000008</v>
      </c>
      <c r="L28" s="1134">
        <f>SUM(L20:L27)</f>
        <v>2803848.6300000008</v>
      </c>
    </row>
    <row r="29" spans="2:20" ht="13.8" thickTop="1">
      <c r="K29" s="1116"/>
      <c r="L29" s="1116"/>
    </row>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7" t="str">
        <f>"(FROM "&amp;UPPER('KEY INPUTS'!D52)&amp;" UTILITY  -  TRIAL  BALANCE)"</f>
        <v>(FROM WATER UTILITY  -  TRIAL  BALANCE)</v>
      </c>
      <c r="C33" s="1807"/>
      <c r="D33" s="1807"/>
      <c r="E33" s="1807"/>
      <c r="F33" s="1807"/>
      <c r="G33" s="1807"/>
      <c r="H33" s="1807"/>
      <c r="I33" s="1807"/>
      <c r="J33" s="1807"/>
      <c r="K33" s="1807"/>
      <c r="L33" s="1807"/>
    </row>
    <row r="34" spans="2:14" ht="13.8" thickBot="1"/>
    <row r="35" spans="2:14" ht="21" customHeight="1" thickTop="1">
      <c r="B35" s="1172" t="s">
        <v>253</v>
      </c>
      <c r="C35" s="1172"/>
      <c r="D35" s="1172"/>
      <c r="E35" s="1172"/>
      <c r="F35" s="1172"/>
      <c r="G35" s="1172"/>
      <c r="H35" s="1172"/>
      <c r="I35" s="1172"/>
      <c r="J35" s="1172"/>
      <c r="K35" s="1216"/>
      <c r="L35" s="1215">
        <f>+'41-Utility1 '!G13</f>
        <v>3461349.77</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3461349.77</v>
      </c>
    </row>
    <row r="39" spans="2:14" ht="21" customHeight="1" thickBot="1">
      <c r="B39" s="691" t="s">
        <v>470</v>
      </c>
      <c r="C39" s="691"/>
      <c r="D39" s="691"/>
      <c r="E39" s="691"/>
      <c r="F39" s="691"/>
      <c r="G39" s="691"/>
      <c r="H39" s="691"/>
      <c r="I39" s="691"/>
      <c r="J39" s="691"/>
      <c r="K39" s="1217"/>
      <c r="L39" s="1219">
        <f>+'41-Utility1 '!H39</f>
        <v>2237715.14</v>
      </c>
    </row>
    <row r="40" spans="2:14" ht="21" customHeight="1" thickTop="1">
      <c r="B40" s="691"/>
      <c r="C40" s="691"/>
      <c r="D40" s="691" t="s">
        <v>268</v>
      </c>
      <c r="E40" s="691"/>
      <c r="F40" s="691"/>
      <c r="G40" s="691"/>
      <c r="H40" s="691"/>
      <c r="I40" s="691"/>
      <c r="J40" s="691"/>
      <c r="K40" s="1217"/>
      <c r="L40" s="1218">
        <f>+L38-L39</f>
        <v>1223634.6299999999</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v>6400</v>
      </c>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6400</v>
      </c>
    </row>
    <row r="45" spans="2:14" ht="21" customHeight="1" thickBot="1">
      <c r="B45" s="1222" t="str">
        <f>"# MAY NOT BE ANTICIPATED AS NON-CASH SURPLUS IN "&amp;TEXT('KEY INPUTS'!D34,"0")&amp;" BUDGET."</f>
        <v># MAY NOT BE ANTICIPATED AS NON-CASH SURPLUS IN 2019 BUDGET.</v>
      </c>
      <c r="C45" s="1116"/>
      <c r="D45" s="1116"/>
      <c r="E45" s="1116"/>
      <c r="F45" s="1116"/>
      <c r="G45" s="1116"/>
      <c r="H45" s="1116"/>
      <c r="I45" s="1116"/>
      <c r="J45" s="1116"/>
      <c r="K45" s="1223"/>
      <c r="L45" s="1220">
        <f>+L40+L44</f>
        <v>1230034.6299999999</v>
      </c>
      <c r="M45" s="399"/>
      <c r="N45" s="778" t="s">
        <v>3530</v>
      </c>
    </row>
    <row r="46" spans="2:14" ht="13.8" thickTop="1">
      <c r="B46" s="1224" t="s">
        <v>275</v>
      </c>
      <c r="C46" s="1224"/>
      <c r="D46" s="1116"/>
      <c r="E46" s="1116"/>
      <c r="F46" s="1116"/>
      <c r="G46" s="1116"/>
      <c r="H46" s="1116"/>
      <c r="I46" s="1116"/>
      <c r="J46" s="1116"/>
      <c r="K46" s="1116"/>
    </row>
    <row r="47" spans="2:14">
      <c r="B47" s="1224"/>
      <c r="C47" s="1224" t="s">
        <v>3441</v>
      </c>
      <c r="D47" s="1116"/>
      <c r="E47" s="1116"/>
      <c r="F47" s="1116"/>
      <c r="G47" s="1116"/>
      <c r="H47" s="1116"/>
      <c r="I47" s="1116"/>
      <c r="J47" s="1116"/>
      <c r="K47" s="1116"/>
    </row>
    <row r="52" spans="2:12" ht="13.8">
      <c r="B52" s="1766" t="s">
        <v>3440</v>
      </c>
      <c r="C52" s="1766"/>
      <c r="D52" s="1766"/>
      <c r="E52" s="1766"/>
      <c r="F52" s="1766"/>
      <c r="G52" s="1766"/>
      <c r="H52" s="1766"/>
      <c r="I52" s="1766"/>
      <c r="J52" s="1766"/>
      <c r="K52" s="1766"/>
      <c r="L52" s="1766"/>
    </row>
  </sheetData>
  <sheetProtection algorithmName="SHA-512" hashValue="wdHscbVsF0kaHbkU1zlA2moJBzzDw9APHKItqfTCcOL8PUroOWKT3lCyGQgLwwU5+uypTRRhmf0jXQnwPn+c3w==" saltValue="JUIoETOwXgHZQgtp+sCZb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3">
    <tabColor theme="6" tint="0.39997558519241921"/>
  </sheetPr>
  <dimension ref="B3:T69"/>
  <sheetViews>
    <sheetView zoomScaleNormal="100" zoomScaleSheetLayoutView="80" workbookViewId="0">
      <selection activeCell="L11" sqref="L1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INPUTS'!D52&amp;"  UTILITY  ACCOUNTS  RECEIVABLE")</f>
        <v>SCHEDULE  OF WATER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v>770468.91</v>
      </c>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4" t="s">
        <v>3782</v>
      </c>
      <c r="E11" s="1194"/>
      <c r="F11" s="1194"/>
      <c r="G11" s="1116"/>
      <c r="J11" s="287"/>
      <c r="K11" s="331" t="s">
        <v>482</v>
      </c>
      <c r="L11" s="580">
        <v>8495858.1300000008</v>
      </c>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v>8564484.5999999996</v>
      </c>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9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8564484.5999999996</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701842.44000000134</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INPUTS'!D52)&amp;" UTILITY  LIENS"</f>
        <v>SCHEDULE  OF WATER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IALbzXdq1fX+cU9IBxHVeCnQFJjnrHTsMWqlceqIKQ2VtdO9bLNGF9v+QS52B74gLTIZvCJ+0q5Mur7IVExUww==" saltValue="EPAZgkFLzcYLQiiMTSFa1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4">
    <tabColor theme="6" tint="0.39997558519241921"/>
  </sheetPr>
  <dimension ref="B3:W69"/>
  <sheetViews>
    <sheetView zoomScaleNormal="100" zoomScaleSheetLayoutView="80" workbookViewId="0">
      <selection activeCell="N20" sqref="N20"/>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3" spans="2:23" ht="20.399999999999999">
      <c r="B3" s="1817" t="s">
        <v>1130</v>
      </c>
      <c r="C3" s="1817"/>
      <c r="D3" s="1817"/>
      <c r="E3" s="1817"/>
      <c r="F3" s="1817"/>
      <c r="G3" s="1817"/>
      <c r="H3" s="1817"/>
      <c r="I3" s="1817"/>
      <c r="J3" s="1817"/>
      <c r="K3" s="1817"/>
      <c r="L3" s="1817"/>
      <c r="M3" s="1817"/>
      <c r="N3" s="1817"/>
    </row>
    <row r="4" spans="2:23" ht="15.6">
      <c r="B4" s="1819" t="s">
        <v>540</v>
      </c>
      <c r="C4" s="1819"/>
      <c r="D4" s="1819"/>
      <c r="E4" s="1819"/>
      <c r="F4" s="1819"/>
      <c r="G4" s="1819"/>
      <c r="H4" s="1819"/>
      <c r="I4" s="1819"/>
      <c r="J4" s="1819"/>
      <c r="K4" s="1819"/>
      <c r="L4" s="1819"/>
      <c r="M4" s="1819"/>
      <c r="N4" s="1819"/>
    </row>
    <row r="5" spans="2:23" ht="20.399999999999999">
      <c r="B5" s="1789" t="str">
        <f>UPPER('KEY INPUTS'!D52)&amp;" UTILITY  FUND"</f>
        <v>WATER UTILITY  FUND</v>
      </c>
      <c r="C5" s="1789"/>
      <c r="D5" s="1789"/>
      <c r="E5" s="1789"/>
      <c r="F5" s="1789"/>
      <c r="G5" s="1789"/>
      <c r="H5" s="1789"/>
      <c r="I5" s="1789"/>
      <c r="J5" s="1789"/>
      <c r="K5" s="1789"/>
      <c r="L5" s="1789"/>
      <c r="M5" s="1789"/>
      <c r="N5" s="1789"/>
    </row>
    <row r="6" spans="2:23">
      <c r="B6" s="1820" t="s">
        <v>283</v>
      </c>
      <c r="C6" s="1820"/>
      <c r="D6" s="1820"/>
      <c r="E6" s="1820"/>
      <c r="F6" s="1820"/>
      <c r="G6" s="1820"/>
      <c r="H6" s="1820"/>
      <c r="I6" s="1820"/>
      <c r="J6" s="1820"/>
      <c r="K6" s="1820"/>
      <c r="L6" s="1820"/>
      <c r="M6" s="1820"/>
      <c r="N6" s="1820"/>
    </row>
    <row r="8" spans="2:23">
      <c r="H8" s="408" t="s">
        <v>533</v>
      </c>
    </row>
    <row r="9" spans="2:23">
      <c r="C9" s="1816" t="s">
        <v>553</v>
      </c>
      <c r="D9" s="1816"/>
      <c r="E9" s="1816"/>
      <c r="H9" s="487" t="str">
        <f>'KEY INPUTS'!D45</f>
        <v>Dec. 31, 2018</v>
      </c>
      <c r="J9" s="408" t="s">
        <v>554</v>
      </c>
      <c r="L9" s="408" t="s">
        <v>533</v>
      </c>
      <c r="N9" s="408" t="s">
        <v>672</v>
      </c>
    </row>
    <row r="10" spans="2:23">
      <c r="H10" s="408" t="s">
        <v>552</v>
      </c>
      <c r="J10" s="408">
        <f>'KEY INPUTS'!D34</f>
        <v>2019</v>
      </c>
      <c r="L10" s="408" t="s">
        <v>555</v>
      </c>
      <c r="N10" s="408" t="s">
        <v>556</v>
      </c>
    </row>
    <row r="11" spans="2:23">
      <c r="H11" s="482" t="s">
        <v>551</v>
      </c>
      <c r="J11" s="482" t="s">
        <v>677</v>
      </c>
      <c r="L11" s="482">
        <f>'KEY INPUTS'!D34</f>
        <v>2019</v>
      </c>
      <c r="N11" s="486" t="str">
        <f>'KEY INPUTS'!D46</f>
        <v>Dec. 31, 2019</v>
      </c>
      <c r="Q11" s="322"/>
      <c r="R11" s="322"/>
      <c r="S11" s="322"/>
      <c r="T11" s="322"/>
      <c r="U11" s="322"/>
      <c r="V11" s="322"/>
      <c r="W11" s="322"/>
    </row>
    <row r="12" spans="2:23">
      <c r="B12" s="481" t="s">
        <v>384</v>
      </c>
      <c r="C12" s="331" t="s">
        <v>1131</v>
      </c>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3959</v>
      </c>
      <c r="D15" s="669"/>
      <c r="E15" s="669"/>
      <c r="F15" s="669"/>
      <c r="G15" s="331" t="s">
        <v>482</v>
      </c>
      <c r="H15" s="580"/>
      <c r="I15" s="331" t="s">
        <v>482</v>
      </c>
      <c r="J15" s="580"/>
      <c r="K15" s="331" t="s">
        <v>482</v>
      </c>
      <c r="L15" s="580">
        <v>6400</v>
      </c>
      <c r="M15" s="331" t="s">
        <v>482</v>
      </c>
      <c r="N15" s="1226">
        <f>+H15-J15+L15</f>
        <v>6400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229" t="s">
        <v>3492</v>
      </c>
      <c r="D20" s="1130"/>
      <c r="E20" s="1228"/>
      <c r="F20" s="1228"/>
      <c r="G20" s="741" t="s">
        <v>482</v>
      </c>
      <c r="H20" s="1227">
        <f>H13+H15+H16+H17+H18+H19</f>
        <v>0</v>
      </c>
      <c r="I20" s="741" t="s">
        <v>482</v>
      </c>
      <c r="J20" s="1227">
        <f>J13+J15+J16+J17+J18+J19</f>
        <v>0</v>
      </c>
      <c r="K20" s="741" t="s">
        <v>482</v>
      </c>
      <c r="L20" s="1227">
        <f>L13+L15+L16+L17+L18+L19</f>
        <v>6400</v>
      </c>
      <c r="M20" s="331" t="s">
        <v>482</v>
      </c>
      <c r="N20" s="1227">
        <f>N13+N15+N16+N17+N18+N19</f>
        <v>6400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741" t="s">
        <v>482</v>
      </c>
      <c r="H23" s="1227">
        <f>H21+H22</f>
        <v>0</v>
      </c>
      <c r="I23" s="741" t="s">
        <v>482</v>
      </c>
      <c r="J23" s="1227">
        <f>J21+J22</f>
        <v>0</v>
      </c>
      <c r="K23" s="741" t="s">
        <v>482</v>
      </c>
      <c r="L23" s="1227">
        <f>L21+L22</f>
        <v>0</v>
      </c>
      <c r="M23" s="331" t="s">
        <v>482</v>
      </c>
      <c r="N23" s="1226">
        <f t="shared" si="0"/>
        <v>0</v>
      </c>
      <c r="Q23" s="322"/>
      <c r="R23" s="322"/>
      <c r="S23" s="322"/>
      <c r="T23" s="322"/>
      <c r="U23" s="322"/>
      <c r="V23" s="322"/>
      <c r="W23" s="322"/>
    </row>
    <row r="24" spans="2:23">
      <c r="B24" s="481"/>
      <c r="Q24" s="322"/>
      <c r="R24" s="322"/>
      <c r="S24" s="322"/>
      <c r="T24" s="322"/>
      <c r="U24" s="322"/>
      <c r="V24" s="322"/>
      <c r="W24" s="322"/>
    </row>
    <row r="25" spans="2:23">
      <c r="B25" s="481"/>
      <c r="C25" s="331" t="s">
        <v>1134</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6">
      <c r="B28" s="1815" t="s">
        <v>530</v>
      </c>
      <c r="C28" s="1815"/>
      <c r="D28" s="1815"/>
      <c r="E28" s="1815"/>
      <c r="F28" s="1815"/>
      <c r="G28" s="1815"/>
      <c r="H28" s="1815"/>
      <c r="I28" s="1815"/>
      <c r="J28" s="1815"/>
      <c r="K28" s="1815"/>
      <c r="L28" s="1815"/>
      <c r="M28" s="1815"/>
      <c r="N28" s="1815"/>
    </row>
    <row r="29" spans="2:23" ht="15.6">
      <c r="B29" s="1815" t="s">
        <v>531</v>
      </c>
      <c r="C29" s="1815"/>
      <c r="D29" s="1815"/>
      <c r="E29" s="1815"/>
      <c r="F29" s="1815"/>
      <c r="G29" s="1815"/>
      <c r="H29" s="1815"/>
      <c r="I29" s="1815"/>
      <c r="J29" s="1815"/>
      <c r="K29" s="1815"/>
      <c r="L29" s="1815"/>
      <c r="M29" s="1815"/>
      <c r="N29" s="1815"/>
    </row>
    <row r="30" spans="2:23" ht="6.75" customHeight="1">
      <c r="B30" s="485"/>
      <c r="C30" s="485"/>
      <c r="D30" s="485"/>
      <c r="E30" s="485"/>
      <c r="F30" s="485"/>
      <c r="G30" s="485"/>
      <c r="H30" s="485"/>
      <c r="I30" s="485"/>
      <c r="J30" s="485"/>
      <c r="K30" s="485"/>
      <c r="L30" s="485"/>
      <c r="M30" s="485"/>
      <c r="N30" s="485"/>
    </row>
    <row r="31" spans="2:23" ht="18" customHeight="1">
      <c r="B31" s="481"/>
      <c r="D31" s="1818" t="s">
        <v>18</v>
      </c>
      <c r="E31" s="1818"/>
      <c r="F31" s="484"/>
      <c r="G31" s="1818" t="s">
        <v>532</v>
      </c>
      <c r="H31" s="1818"/>
      <c r="I31" s="1818"/>
      <c r="J31" s="1818"/>
      <c r="K31" s="1818"/>
      <c r="L31" s="1818"/>
      <c r="M31" s="484"/>
      <c r="N31" s="48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481"/>
    </row>
    <row r="38" spans="2:14">
      <c r="B38" s="481"/>
    </row>
    <row r="39" spans="2:14">
      <c r="B39" s="481"/>
    </row>
    <row r="40" spans="2:14" ht="15.6">
      <c r="B40" s="1815" t="s">
        <v>322</v>
      </c>
      <c r="C40" s="1815"/>
      <c r="D40" s="1815"/>
      <c r="E40" s="1815"/>
      <c r="F40" s="1815"/>
      <c r="G40" s="1815"/>
      <c r="H40" s="1815"/>
      <c r="I40" s="1815"/>
      <c r="J40" s="1815"/>
      <c r="K40" s="1815"/>
      <c r="L40" s="1815"/>
      <c r="M40" s="1815"/>
      <c r="N40" s="1815"/>
    </row>
    <row r="41" spans="2:14">
      <c r="B41" s="481"/>
    </row>
    <row r="42" spans="2:14">
      <c r="B42" s="481"/>
      <c r="N42" s="408" t="s">
        <v>538</v>
      </c>
    </row>
    <row r="43" spans="2:14">
      <c r="B43" s="481"/>
      <c r="N43" s="408" t="s">
        <v>539</v>
      </c>
    </row>
    <row r="44" spans="2:14">
      <c r="B44" s="481"/>
      <c r="D44" s="1816" t="s">
        <v>535</v>
      </c>
      <c r="E44" s="1816"/>
      <c r="H44" s="1816" t="s">
        <v>536</v>
      </c>
      <c r="I44" s="1816"/>
      <c r="J44" s="482" t="s">
        <v>537</v>
      </c>
      <c r="L44" s="482" t="s">
        <v>533</v>
      </c>
      <c r="N44" s="482" t="str">
        <f>"Year "&amp;TEXT('KEY INPUTS'!D34,"0")&amp;""</f>
        <v>Year 2019</v>
      </c>
    </row>
    <row r="45" spans="2:14">
      <c r="B45" s="481"/>
      <c r="D45" s="668"/>
      <c r="E45" s="668"/>
      <c r="F45" s="668"/>
      <c r="G45" s="668"/>
      <c r="H45" s="668"/>
      <c r="I45" s="668"/>
      <c r="J45" s="66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tHl5Lx9YKwSYDSO8STggsNc9bRtFcvE8CRF1quPCUF0b8+SOe3NBSZlCPmOqLMicFYvjh9KxpzuHn28Ao3cvg==" saltValue="6zAxnZdor5GXPC+ysLDs+g=="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5">
    <tabColor theme="6" tint="0.39997558519241921"/>
  </sheetPr>
  <dimension ref="B2:U50"/>
  <sheetViews>
    <sheetView topLeftCell="A10" zoomScaleNormal="100" zoomScaleSheetLayoutView="80" workbookViewId="0">
      <selection activeCell="Q22" sqref="Q22"/>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INPUTS'!D52)&amp;" UTILITY  ASSESSMENT  BONDS"</f>
        <v>WATER UTILITY  ASSESSMENT  BONDS</v>
      </c>
      <c r="C4" s="1762"/>
      <c r="D4" s="1762"/>
      <c r="E4" s="1762"/>
      <c r="F4" s="1762"/>
      <c r="G4" s="1762"/>
      <c r="H4" s="1762"/>
      <c r="I4" s="1762"/>
      <c r="J4" s="1762"/>
      <c r="K4" s="1762"/>
      <c r="L4" s="1762"/>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37" t="s">
        <v>126</v>
      </c>
      <c r="I6" s="1778"/>
      <c r="J6" s="1835" t="str">
        <f>'KEY INPUTS'!D34&amp;" Debt
Service"</f>
        <v>2019 Debt
Service</v>
      </c>
      <c r="K6" s="1836"/>
      <c r="L6" s="1836"/>
      <c r="O6" s="322"/>
      <c r="P6" s="322"/>
      <c r="Q6" s="322"/>
      <c r="R6" s="322"/>
      <c r="S6" s="322"/>
      <c r="T6" s="322"/>
      <c r="U6" s="322"/>
    </row>
    <row r="7" spans="2:21" ht="21" customHeight="1" thickTop="1">
      <c r="B7" s="474" t="str">
        <f>'KEY INPUTS'!D27</f>
        <v>Outstanding - January 1, 2019</v>
      </c>
      <c r="C7" s="457"/>
      <c r="D7" s="457"/>
      <c r="E7" s="457"/>
      <c r="F7" s="457"/>
      <c r="G7" s="1173" t="s">
        <v>788</v>
      </c>
      <c r="H7" s="1706"/>
      <c r="I7" s="1707"/>
      <c r="O7" s="322"/>
      <c r="P7" s="322"/>
      <c r="Q7" s="322"/>
      <c r="R7" s="322"/>
      <c r="S7" s="322"/>
      <c r="T7" s="322"/>
      <c r="U7" s="322"/>
    </row>
    <row r="8" spans="2:21" ht="21" customHeight="1">
      <c r="B8" s="402" t="s">
        <v>113</v>
      </c>
      <c r="C8" s="402"/>
      <c r="D8" s="402"/>
      <c r="E8" s="402"/>
      <c r="F8" s="402"/>
      <c r="G8" s="1176" t="s">
        <v>788</v>
      </c>
      <c r="H8" s="1680"/>
      <c r="I8" s="1681"/>
      <c r="O8" s="377"/>
      <c r="P8" s="322"/>
      <c r="Q8" s="322"/>
      <c r="R8" s="322"/>
      <c r="S8" s="322"/>
      <c r="T8" s="322"/>
      <c r="U8" s="322"/>
    </row>
    <row r="9" spans="2:21" ht="21" customHeight="1">
      <c r="B9" s="402"/>
      <c r="C9" s="402"/>
      <c r="D9" s="402"/>
      <c r="E9" s="402"/>
      <c r="F9" s="402"/>
      <c r="G9" s="1176"/>
      <c r="H9" s="502"/>
      <c r="I9" s="1230"/>
      <c r="O9" s="322"/>
      <c r="P9" s="322"/>
      <c r="Q9" s="322"/>
      <c r="R9" s="322"/>
      <c r="S9" s="322"/>
      <c r="T9" s="322"/>
      <c r="U9" s="322"/>
    </row>
    <row r="10" spans="2:21" ht="21" customHeight="1">
      <c r="B10" s="402" t="s">
        <v>326</v>
      </c>
      <c r="C10" s="402"/>
      <c r="D10" s="402"/>
      <c r="E10" s="402"/>
      <c r="F10" s="402"/>
      <c r="G10" s="601"/>
      <c r="H10" s="1831" t="s">
        <v>788</v>
      </c>
      <c r="I10" s="1832"/>
      <c r="O10" s="322"/>
      <c r="P10" s="322"/>
      <c r="Q10" s="322"/>
      <c r="R10" s="322"/>
      <c r="S10" s="322"/>
      <c r="T10" s="322"/>
      <c r="U10" s="322"/>
    </row>
    <row r="11" spans="2:21" ht="21" customHeight="1" thickBot="1">
      <c r="B11" s="402" t="str">
        <f>'KEY INPUTS'!D28</f>
        <v>Outstanding - December 31, 2019</v>
      </c>
      <c r="C11" s="402"/>
      <c r="D11" s="402"/>
      <c r="E11" s="402"/>
      <c r="F11" s="402"/>
      <c r="G11" s="1131">
        <f>+H7+H8-G10</f>
        <v>0</v>
      </c>
      <c r="H11" s="1833" t="s">
        <v>788</v>
      </c>
      <c r="I11" s="1834"/>
      <c r="O11" s="322"/>
      <c r="P11" s="322"/>
      <c r="Q11" s="322"/>
      <c r="R11" s="322"/>
      <c r="S11" s="322"/>
      <c r="T11" s="322"/>
      <c r="U11" s="322"/>
    </row>
    <row r="12" spans="2:21" ht="21" customHeight="1" thickBot="1">
      <c r="G12" s="1133">
        <f>SUM(G7:G11)</f>
        <v>0</v>
      </c>
      <c r="H12" s="1838">
        <f>SUM(H7:I11)</f>
        <v>0</v>
      </c>
      <c r="I12" s="1839"/>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482</v>
      </c>
      <c r="K13" s="1715"/>
      <c r="L13" s="1715"/>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482</v>
      </c>
      <c r="I14" s="608"/>
      <c r="O14" s="322"/>
      <c r="P14" s="322"/>
      <c r="Q14" s="322"/>
      <c r="R14" s="322"/>
      <c r="S14" s="322"/>
      <c r="T14" s="322"/>
      <c r="U14" s="322"/>
    </row>
    <row r="15" spans="2:21" ht="16.5" customHeight="1" thickTop="1">
      <c r="B15" s="1844"/>
      <c r="C15" s="1844"/>
      <c r="D15" s="1844"/>
      <c r="E15" s="1844"/>
      <c r="F15" s="1844"/>
      <c r="G15" s="1844"/>
      <c r="H15" s="1844"/>
      <c r="I15" s="1845"/>
      <c r="O15" s="322"/>
      <c r="P15" s="322"/>
      <c r="Q15" s="322"/>
      <c r="R15" s="322"/>
      <c r="S15" s="322"/>
      <c r="T15" s="322"/>
      <c r="U15" s="322"/>
    </row>
    <row r="16" spans="2:21" ht="26.25" customHeight="1" thickBot="1">
      <c r="B16" s="1823" t="str">
        <f>UPPER('KEY INPUTS'!D52) &amp;" UTILITY  CAPITAL  BONDS"</f>
        <v>WATER UTILITY  CAPITAL  BONDS</v>
      </c>
      <c r="C16" s="1823"/>
      <c r="D16" s="1823"/>
      <c r="E16" s="1823"/>
      <c r="F16" s="1823"/>
      <c r="G16" s="1823"/>
      <c r="H16" s="1823"/>
      <c r="I16" s="1824"/>
      <c r="O16" s="322"/>
      <c r="P16" s="322"/>
      <c r="Q16" s="322"/>
      <c r="R16" s="322"/>
      <c r="S16" s="322"/>
      <c r="T16" s="322"/>
      <c r="U16" s="322"/>
    </row>
    <row r="17" spans="2:21" ht="21" customHeight="1" thickTop="1">
      <c r="B17" s="474" t="str">
        <f>'KEY INPUTS'!D27</f>
        <v>Outstanding - January 1, 2019</v>
      </c>
      <c r="C17" s="457"/>
      <c r="D17" s="457"/>
      <c r="E17" s="457"/>
      <c r="F17" s="457"/>
      <c r="G17" s="1173" t="s">
        <v>788</v>
      </c>
      <c r="H17" s="1706">
        <v>7620000</v>
      </c>
      <c r="I17" s="1707"/>
      <c r="O17" s="322"/>
      <c r="P17" s="322"/>
      <c r="Q17" s="322"/>
      <c r="R17" s="322"/>
      <c r="S17" s="322"/>
      <c r="T17" s="322"/>
      <c r="U17" s="322"/>
    </row>
    <row r="18" spans="2:21" ht="21" customHeight="1">
      <c r="B18" s="402" t="s">
        <v>113</v>
      </c>
      <c r="C18" s="402"/>
      <c r="D18" s="402"/>
      <c r="E18" s="402"/>
      <c r="F18" s="402"/>
      <c r="G18" s="1176" t="s">
        <v>788</v>
      </c>
      <c r="H18" s="1680"/>
      <c r="I18" s="1681"/>
      <c r="O18" s="322"/>
      <c r="P18" s="322"/>
      <c r="Q18" s="322"/>
      <c r="R18" s="322"/>
      <c r="S18" s="322"/>
      <c r="T18" s="322"/>
      <c r="U18" s="322"/>
    </row>
    <row r="19" spans="2:21" ht="21" customHeight="1">
      <c r="B19" s="402" t="s">
        <v>326</v>
      </c>
      <c r="C19" s="402"/>
      <c r="D19" s="402"/>
      <c r="E19" s="402"/>
      <c r="F19" s="402"/>
      <c r="G19" s="601">
        <v>440000</v>
      </c>
      <c r="H19" s="1831" t="s">
        <v>788</v>
      </c>
      <c r="I19" s="1832"/>
      <c r="O19" s="322"/>
      <c r="P19" s="322"/>
      <c r="Q19" s="322"/>
      <c r="R19" s="322"/>
      <c r="S19" s="322"/>
      <c r="T19" s="322"/>
      <c r="U19" s="322"/>
    </row>
    <row r="20" spans="2:21" ht="21" customHeight="1">
      <c r="B20" s="402"/>
      <c r="C20" s="402"/>
      <c r="D20" s="402"/>
      <c r="E20" s="402"/>
      <c r="F20" s="402"/>
      <c r="G20" s="690"/>
      <c r="H20" s="1840"/>
      <c r="I20" s="1841"/>
      <c r="O20" s="322"/>
      <c r="P20" s="322"/>
      <c r="Q20" s="322"/>
      <c r="R20" s="322"/>
      <c r="S20" s="322"/>
      <c r="T20" s="322"/>
      <c r="U20" s="322"/>
    </row>
    <row r="21" spans="2:21" ht="21" customHeight="1">
      <c r="B21" s="402"/>
      <c r="C21" s="402"/>
      <c r="D21" s="402"/>
      <c r="E21" s="402"/>
      <c r="F21" s="402"/>
      <c r="G21" s="690"/>
      <c r="H21" s="1840"/>
      <c r="I21" s="1841"/>
      <c r="O21" s="322"/>
      <c r="P21" s="322"/>
      <c r="Q21" s="322"/>
      <c r="R21" s="322"/>
      <c r="S21" s="322"/>
      <c r="T21" s="322"/>
      <c r="U21" s="322"/>
    </row>
    <row r="22" spans="2:21" ht="21" customHeight="1" thickBot="1">
      <c r="B22" s="402" t="str">
        <f>'KEY INPUTS'!D28</f>
        <v>Outstanding - December 31, 2019</v>
      </c>
      <c r="C22" s="402"/>
      <c r="D22" s="402"/>
      <c r="E22" s="402"/>
      <c r="F22" s="402"/>
      <c r="G22" s="1131">
        <f>+H17+H18-G19-G20-G21+H20+H21</f>
        <v>7180000</v>
      </c>
      <c r="H22" s="1833" t="s">
        <v>788</v>
      </c>
      <c r="I22" s="1834"/>
      <c r="O22" s="322"/>
      <c r="P22" s="322"/>
      <c r="Q22" s="322"/>
      <c r="R22" s="322"/>
      <c r="S22" s="322"/>
      <c r="T22" s="322"/>
      <c r="U22" s="322"/>
    </row>
    <row r="23" spans="2:21" ht="21" customHeight="1" thickBot="1">
      <c r="G23" s="1133">
        <f>SUM(G17:G22)</f>
        <v>7620000</v>
      </c>
      <c r="H23" s="1838">
        <f>SUM(H17:I22)</f>
        <v>7620000</v>
      </c>
      <c r="I23" s="1839"/>
    </row>
    <row r="24" spans="2:21" ht="21" customHeight="1" thickTop="1">
      <c r="B24" s="501" t="str">
        <f>TEXT('KEY INPUTS'!D34+1,"0")&amp;" Bond Maturities - Capital Bonds"</f>
        <v>2020 Bond Maturities - Capital Bonds</v>
      </c>
      <c r="C24" s="451"/>
      <c r="D24" s="451"/>
      <c r="E24" s="451"/>
      <c r="F24" s="451"/>
      <c r="G24" s="451"/>
      <c r="H24" s="451"/>
      <c r="I24" s="921"/>
      <c r="J24" s="451" t="s">
        <v>482</v>
      </c>
      <c r="K24" s="1715">
        <v>470000</v>
      </c>
      <c r="L24" s="1715"/>
    </row>
    <row r="25" spans="2:21" ht="21" customHeight="1" thickBot="1">
      <c r="B25" s="498" t="str">
        <f>TEXT('KEY INPUTS'!D34+1,"0")&amp;" Interest on Bonds"</f>
        <v>2020 Interest on Bonds</v>
      </c>
      <c r="C25" s="488"/>
      <c r="D25" s="488"/>
      <c r="E25" s="488"/>
      <c r="F25" s="488"/>
      <c r="G25" s="499"/>
      <c r="H25" s="488" t="s">
        <v>482</v>
      </c>
      <c r="I25" s="608">
        <v>254181</v>
      </c>
      <c r="J25" s="489"/>
      <c r="K25" s="488"/>
      <c r="L25" s="498" t="s">
        <v>3408</v>
      </c>
    </row>
    <row r="26" spans="2:21" ht="21" customHeight="1" thickTop="1"/>
    <row r="27" spans="2:21" ht="19.5" customHeight="1" thickBot="1">
      <c r="B27" s="1823" t="str">
        <f>"INTEREST  ON  BONDS  -  "&amp;UPPER('KEY INPUTS'!D52)&amp;"  UTILITY  BUDGET"</f>
        <v>INTEREST  ON  BONDS  -  WATER  UTILITY  BUDGET</v>
      </c>
      <c r="C27" s="1823"/>
      <c r="D27" s="1823"/>
      <c r="E27" s="1823"/>
      <c r="F27" s="1823"/>
      <c r="G27" s="1823"/>
      <c r="H27" s="1823"/>
      <c r="I27" s="1823"/>
      <c r="J27" s="1823"/>
      <c r="K27" s="1823"/>
      <c r="L27" s="1823"/>
    </row>
    <row r="28" spans="2:21" ht="21" customHeight="1" thickTop="1">
      <c r="B28" s="497" t="str">
        <f>TEXT('KEY INPUTS'!D34+1,"0")&amp;" Interest on Bonds (*Items)"</f>
        <v>2020 Interest on Bonds (*Items)</v>
      </c>
      <c r="C28" s="457"/>
      <c r="D28" s="457"/>
      <c r="E28" s="457"/>
      <c r="F28" s="457"/>
      <c r="G28" s="457"/>
      <c r="H28" s="457" t="s">
        <v>482</v>
      </c>
      <c r="I28" s="1232">
        <f>+I14+I25</f>
        <v>254181</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3">
        <v>36754.17</v>
      </c>
      <c r="O29" s="464"/>
      <c r="P29" s="464"/>
      <c r="Q29" s="464"/>
      <c r="R29" s="464"/>
    </row>
    <row r="30" spans="2:21" ht="21" customHeight="1">
      <c r="B30" s="402"/>
      <c r="C30" s="402" t="s">
        <v>421</v>
      </c>
      <c r="D30" s="402"/>
      <c r="E30" s="402"/>
      <c r="F30" s="402"/>
      <c r="G30" s="402"/>
      <c r="H30" s="402" t="s">
        <v>482</v>
      </c>
      <c r="I30" s="1233">
        <f>+I28-I29</f>
        <v>217426.83000000002</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3">
        <v>33300</v>
      </c>
      <c r="O31" s="464"/>
      <c r="P31" s="464"/>
      <c r="Q31" s="464"/>
      <c r="R31" s="464"/>
    </row>
    <row r="32" spans="2:21" ht="21" customHeight="1">
      <c r="B32" s="406" t="str">
        <f>"Required Appropriation "&amp;TEXT('KEY INPUTS'!D34+1,"0")</f>
        <v>Required Appropriation 2020</v>
      </c>
      <c r="C32" s="402"/>
      <c r="D32" s="402"/>
      <c r="E32" s="402"/>
      <c r="F32" s="402"/>
      <c r="G32" s="402"/>
      <c r="H32" s="402"/>
      <c r="I32" s="922"/>
      <c r="J32" s="491" t="s">
        <v>482</v>
      </c>
      <c r="K32" s="1825">
        <f>+I30+I31</f>
        <v>250726.83000000002</v>
      </c>
      <c r="L32" s="1826"/>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46" t="str">
        <f>"LIST  OF  BONDS  ISSUED  DURING  "&amp;TEXT('KEY INPUTS'!D34,"0")&amp;""</f>
        <v>LIST  OF  BONDS  ISSUED  DURING  2019</v>
      </c>
      <c r="C35" s="1846"/>
      <c r="D35" s="1846"/>
      <c r="E35" s="1846"/>
      <c r="F35" s="1846"/>
      <c r="G35" s="1846"/>
      <c r="H35" s="1846"/>
      <c r="I35" s="1846"/>
      <c r="J35" s="1846"/>
      <c r="K35" s="1846"/>
      <c r="L35" s="1846"/>
    </row>
    <row r="36" spans="2:12" ht="27" customHeight="1" thickTop="1" thickBot="1">
      <c r="B36" s="1777" t="s">
        <v>532</v>
      </c>
      <c r="C36" s="1777"/>
      <c r="D36" s="1777"/>
      <c r="E36" s="1777"/>
      <c r="F36" s="1777"/>
      <c r="G36" s="493" t="str">
        <f>TEXT('KEY INPUTS'!D34,"0")&amp;" Maturity"</f>
        <v>2019 Maturity</v>
      </c>
      <c r="H36" s="1837" t="s">
        <v>109</v>
      </c>
      <c r="I36" s="1778"/>
      <c r="J36" s="1842" t="s">
        <v>107</v>
      </c>
      <c r="K36" s="1843"/>
      <c r="L36" s="492"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488"/>
      <c r="C41" s="488"/>
      <c r="D41" s="488"/>
      <c r="E41" s="488"/>
      <c r="F41" s="490"/>
      <c r="G41" s="1133">
        <f>SUM(G37:G40)</f>
        <v>0</v>
      </c>
      <c r="H41" s="1821">
        <f>SUM(H37:I40)</f>
        <v>0</v>
      </c>
      <c r="I41" s="1822"/>
      <c r="J41" s="489"/>
      <c r="K41" s="1234"/>
      <c r="L41" s="1235"/>
    </row>
    <row r="42" spans="2:12" ht="13.8" thickTop="1">
      <c r="G42" s="453"/>
      <c r="H42" s="453"/>
      <c r="I42" s="453"/>
    </row>
    <row r="50" spans="2:12" ht="13.8">
      <c r="B50" s="1766" t="s">
        <v>3446</v>
      </c>
      <c r="C50" s="1766"/>
      <c r="D50" s="1766"/>
      <c r="E50" s="1766"/>
      <c r="F50" s="1766"/>
      <c r="G50" s="1766"/>
      <c r="H50" s="1766"/>
      <c r="I50" s="1766"/>
      <c r="J50" s="1766"/>
      <c r="K50" s="1766"/>
      <c r="L50" s="1766"/>
    </row>
  </sheetData>
  <sheetProtection password="CAF9"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6">
    <tabColor theme="6" tint="0.39997558519241921"/>
  </sheetPr>
  <dimension ref="B2:U51"/>
  <sheetViews>
    <sheetView topLeftCell="A16" zoomScaleNormal="100" zoomScaleSheetLayoutView="80" workbookViewId="0">
      <selection activeCell="P29" sqref="P29"/>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7" t="s">
        <v>606</v>
      </c>
      <c r="C2" s="1817"/>
      <c r="D2" s="1817"/>
      <c r="E2" s="1817"/>
      <c r="F2" s="1817"/>
      <c r="G2" s="1817"/>
      <c r="H2" s="1817"/>
      <c r="I2" s="1817"/>
      <c r="J2" s="1817"/>
      <c r="K2" s="1817"/>
      <c r="L2" s="1817"/>
    </row>
    <row r="3" spans="2:21" ht="20.399999999999999">
      <c r="B3" s="1850" t="str">
        <f>"AND  "&amp;TEXT('KEY INPUTS'!D34+1,"0")&amp;"  DEBT  SERVICE  FOR  LOANS"</f>
        <v>AND  2020  DEBT  SERVICE  FOR  LOANS</v>
      </c>
      <c r="C3" s="1850"/>
      <c r="D3" s="1850"/>
      <c r="E3" s="1850"/>
      <c r="F3" s="1850"/>
      <c r="G3" s="1850"/>
      <c r="H3" s="1850"/>
      <c r="I3" s="1850"/>
      <c r="J3" s="1850"/>
      <c r="K3" s="1850"/>
      <c r="L3" s="1850"/>
    </row>
    <row r="4" spans="2:21" ht="15.6">
      <c r="B4" s="1851" t="str">
        <f>UPPER('KEY INPUTS'!D$52)&amp;"  UTILITY"&amp;" ________________ LOAN"</f>
        <v>WATER  UTILITY ________________ LOAN</v>
      </c>
      <c r="C4" s="1851"/>
      <c r="D4" s="1851"/>
      <c r="E4" s="1851"/>
      <c r="F4" s="1851"/>
      <c r="G4" s="1851"/>
      <c r="H4" s="1851"/>
      <c r="I4" s="1851"/>
      <c r="J4" s="1851"/>
      <c r="K4" s="1851"/>
      <c r="L4" s="1851"/>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52" t="s">
        <v>126</v>
      </c>
      <c r="I6" s="1853"/>
      <c r="J6" s="1835" t="str">
        <f>'KEY INPUTS'!D34&amp;" Debt
Service"</f>
        <v>2019 Debt
Service</v>
      </c>
      <c r="K6" s="1836"/>
      <c r="L6" s="1836"/>
      <c r="O6" s="322"/>
      <c r="P6" s="322"/>
      <c r="Q6" s="322"/>
      <c r="R6" s="322"/>
      <c r="S6" s="322"/>
      <c r="T6" s="322"/>
      <c r="U6" s="322"/>
    </row>
    <row r="7" spans="2:21" ht="21" customHeight="1" thickTop="1">
      <c r="B7" s="474" t="str">
        <f>'KEY INPUTS'!D27</f>
        <v>Outstanding - January 1, 2019</v>
      </c>
      <c r="C7" s="415"/>
      <c r="D7" s="415"/>
      <c r="E7" s="415"/>
      <c r="F7" s="415"/>
      <c r="G7" s="145" t="s">
        <v>788</v>
      </c>
      <c r="H7" s="1706">
        <v>11892279.24</v>
      </c>
      <c r="I7" s="1707"/>
      <c r="O7" s="322"/>
      <c r="P7" s="322"/>
      <c r="Q7" s="322"/>
      <c r="R7" s="322"/>
      <c r="S7" s="322"/>
      <c r="T7" s="322"/>
      <c r="U7" s="322"/>
    </row>
    <row r="8" spans="2:21" ht="21" customHeight="1">
      <c r="B8" s="402" t="s">
        <v>113</v>
      </c>
      <c r="C8" s="334"/>
      <c r="D8" s="334"/>
      <c r="E8" s="334"/>
      <c r="F8" s="334"/>
      <c r="G8" s="146" t="s">
        <v>788</v>
      </c>
      <c r="H8" s="1680"/>
      <c r="I8" s="1681"/>
      <c r="O8" s="377"/>
      <c r="P8" s="322"/>
      <c r="Q8" s="322"/>
      <c r="R8" s="322"/>
      <c r="S8" s="322"/>
      <c r="T8" s="322"/>
      <c r="U8" s="322"/>
    </row>
    <row r="9" spans="2:21" ht="21" customHeight="1">
      <c r="B9" s="648"/>
      <c r="C9" s="648"/>
      <c r="D9" s="648"/>
      <c r="E9" s="648"/>
      <c r="F9" s="648"/>
      <c r="G9" s="684"/>
      <c r="H9" s="1680"/>
      <c r="I9" s="1681"/>
      <c r="O9" s="322"/>
      <c r="P9" s="322"/>
      <c r="Q9" s="322"/>
      <c r="R9" s="322"/>
      <c r="S9" s="322"/>
      <c r="T9" s="322"/>
      <c r="U9" s="322"/>
    </row>
    <row r="10" spans="2:21" ht="21" customHeight="1">
      <c r="B10" s="402" t="s">
        <v>326</v>
      </c>
      <c r="C10" s="334"/>
      <c r="D10" s="334"/>
      <c r="E10" s="334"/>
      <c r="F10" s="334"/>
      <c r="G10" s="601">
        <v>2060556.74</v>
      </c>
      <c r="H10" s="1662" t="s">
        <v>788</v>
      </c>
      <c r="I10" s="1663"/>
      <c r="O10" s="322"/>
      <c r="P10" s="322"/>
      <c r="Q10" s="322"/>
      <c r="R10" s="322"/>
      <c r="S10" s="322"/>
      <c r="T10" s="322"/>
      <c r="U10" s="322"/>
    </row>
    <row r="11" spans="2:21" ht="21" customHeight="1" thickBot="1">
      <c r="B11" s="402" t="str">
        <f>'KEY INPUTS'!D28</f>
        <v>Outstanding - December 31, 2019</v>
      </c>
      <c r="C11" s="334"/>
      <c r="D11" s="334"/>
      <c r="E11" s="334"/>
      <c r="F11" s="334"/>
      <c r="G11" s="141">
        <f>+H7+H8-G10+H9-G9</f>
        <v>9831722.5</v>
      </c>
      <c r="H11" s="1664" t="s">
        <v>788</v>
      </c>
      <c r="I11" s="1665"/>
      <c r="O11" s="322"/>
      <c r="P11" s="322"/>
      <c r="Q11" s="322"/>
      <c r="R11" s="322"/>
      <c r="S11" s="322"/>
      <c r="T11" s="322"/>
      <c r="U11" s="322"/>
    </row>
    <row r="12" spans="2:21" ht="21" customHeight="1" thickBot="1">
      <c r="B12" s="398"/>
      <c r="G12" s="137">
        <f>SUM(G7:G11)</f>
        <v>11892279.24</v>
      </c>
      <c r="H12" s="1711">
        <f>SUM(H7:I11)</f>
        <v>11892279.24</v>
      </c>
      <c r="I12" s="171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5">
        <f>359000+433611.1</f>
        <v>792611.1</v>
      </c>
      <c r="L13" s="171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5">
        <v>253100</v>
      </c>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823" t="str">
        <f>UPPER('KEY INPUTS'!D$52)&amp;"  UTILITY"&amp;" ________________ LOAN"</f>
        <v>WATER  UTILITY ________________ LOAN</v>
      </c>
      <c r="C16" s="1823"/>
      <c r="D16" s="1823"/>
      <c r="E16" s="1823"/>
      <c r="F16" s="1823"/>
      <c r="G16" s="1823"/>
      <c r="H16" s="1823"/>
      <c r="I16" s="1824"/>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706"/>
      <c r="I17" s="1707"/>
      <c r="O17" s="322"/>
      <c r="P17" s="322"/>
      <c r="Q17" s="322"/>
      <c r="R17" s="322"/>
      <c r="S17" s="322"/>
      <c r="T17" s="322"/>
      <c r="U17" s="322"/>
    </row>
    <row r="18" spans="2:21" ht="21" customHeight="1">
      <c r="B18" s="402" t="s">
        <v>113</v>
      </c>
      <c r="C18" s="334"/>
      <c r="D18" s="334"/>
      <c r="E18" s="334"/>
      <c r="F18" s="334"/>
      <c r="G18" s="146" t="s">
        <v>788</v>
      </c>
      <c r="H18" s="1680"/>
      <c r="I18" s="1681"/>
      <c r="O18" s="322"/>
      <c r="P18" s="322"/>
      <c r="Q18" s="322"/>
      <c r="R18" s="322"/>
      <c r="S18" s="322"/>
      <c r="T18" s="322"/>
      <c r="U18" s="322"/>
    </row>
    <row r="19" spans="2:21" ht="21" customHeight="1">
      <c r="B19" s="402" t="s">
        <v>326</v>
      </c>
      <c r="C19" s="334"/>
      <c r="D19" s="334"/>
      <c r="E19" s="334"/>
      <c r="F19" s="334"/>
      <c r="G19" s="601"/>
      <c r="H19" s="1662" t="s">
        <v>788</v>
      </c>
      <c r="I19" s="1663"/>
      <c r="O19" s="322"/>
      <c r="P19" s="322"/>
      <c r="Q19" s="322"/>
      <c r="R19" s="322"/>
      <c r="S19" s="322"/>
      <c r="T19" s="322"/>
      <c r="U19" s="322"/>
    </row>
    <row r="20" spans="2:21" ht="21" customHeight="1">
      <c r="B20" s="402"/>
      <c r="C20" s="334"/>
      <c r="D20" s="334"/>
      <c r="E20" s="334"/>
      <c r="F20" s="334"/>
      <c r="G20" s="120"/>
      <c r="H20" s="1855"/>
      <c r="I20" s="1856"/>
      <c r="O20" s="322"/>
      <c r="P20" s="322"/>
      <c r="Q20" s="322"/>
      <c r="R20" s="322"/>
      <c r="S20" s="322"/>
      <c r="T20" s="322"/>
      <c r="U20" s="322"/>
    </row>
    <row r="21" spans="2:21" ht="21" customHeight="1">
      <c r="B21" s="402"/>
      <c r="C21" s="334"/>
      <c r="D21" s="334"/>
      <c r="E21" s="334"/>
      <c r="F21" s="334"/>
      <c r="G21" s="120"/>
      <c r="H21" s="1855"/>
      <c r="I21" s="185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4" t="s">
        <v>788</v>
      </c>
      <c r="I22" s="1665"/>
      <c r="O22" s="322"/>
      <c r="P22" s="322"/>
      <c r="Q22" s="322"/>
      <c r="R22" s="322"/>
      <c r="S22" s="322"/>
      <c r="T22" s="322"/>
      <c r="U22" s="322"/>
    </row>
    <row r="23" spans="2:21" ht="21" customHeight="1" thickBot="1">
      <c r="B23" s="398"/>
      <c r="G23" s="137">
        <f>SUM(G17:G22)</f>
        <v>0</v>
      </c>
      <c r="H23" s="1711">
        <f>SUM(H17:I22)</f>
        <v>0</v>
      </c>
      <c r="I23" s="1712"/>
    </row>
    <row r="24" spans="2:21" ht="21" customHeight="1" thickTop="1">
      <c r="B24" s="501" t="str">
        <f>TEXT('KEY INPUTS'!D34+1,"0")&amp;" Loan Maturities"</f>
        <v>2020 Loan Maturities</v>
      </c>
      <c r="C24" s="479"/>
      <c r="D24" s="479"/>
      <c r="E24" s="479"/>
      <c r="F24" s="479"/>
      <c r="G24" s="479"/>
      <c r="H24" s="479"/>
      <c r="I24" s="515"/>
      <c r="J24" s="479" t="s">
        <v>482</v>
      </c>
      <c r="K24" s="1715"/>
      <c r="L24" s="171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3" t="str">
        <f>"INTEREST  ON  LOANS  - "&amp;UPPER('KEY INPUTS'!D52)&amp;"  UTILITY  BUDGET"</f>
        <v>INTEREST  ON  LOANS  - WATER  UTILITY  BUDGET</v>
      </c>
      <c r="C27" s="1823"/>
      <c r="D27" s="1823"/>
      <c r="E27" s="1823"/>
      <c r="F27" s="1823"/>
      <c r="G27" s="1823"/>
      <c r="H27" s="1823"/>
      <c r="I27" s="1823"/>
      <c r="J27" s="1823"/>
      <c r="K27" s="1823"/>
      <c r="L27" s="1823"/>
    </row>
    <row r="28" spans="2:21" ht="21" customHeight="1" thickTop="1">
      <c r="B28" s="497" t="str">
        <f>TEXT('KEY INPUTS'!D34+1,"0")&amp;" Interest on Loans (*Items)"</f>
        <v>2020 Interest on Loans (*Items)</v>
      </c>
      <c r="C28" s="457"/>
      <c r="D28" s="415"/>
      <c r="E28" s="415"/>
      <c r="F28" s="415"/>
      <c r="G28" s="415"/>
      <c r="H28" s="415" t="s">
        <v>482</v>
      </c>
      <c r="I28" s="513">
        <f>+I25+I14</f>
        <v>253100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v>105458.33</v>
      </c>
    </row>
    <row r="30" spans="2:21" ht="21" customHeight="1">
      <c r="B30" s="402"/>
      <c r="C30" s="402" t="s">
        <v>421</v>
      </c>
      <c r="D30" s="334"/>
      <c r="E30" s="334"/>
      <c r="F30" s="334"/>
      <c r="G30" s="334"/>
      <c r="H30" s="334" t="s">
        <v>482</v>
      </c>
      <c r="I30" s="512">
        <f>+I28-I29</f>
        <v>147641.66999999998</v>
      </c>
    </row>
    <row r="31" spans="2:21" ht="21" customHeight="1">
      <c r="B31" s="406" t="str">
        <f>"Add: Interest to be Accrued as of "&amp;TEXT('KEY INPUTS'!D30,"mm/dd/yyyy")&amp;""</f>
        <v>Add: Interest to be Accrued as of 12/31/2020</v>
      </c>
      <c r="C31" s="402"/>
      <c r="D31" s="334"/>
      <c r="E31" s="334"/>
      <c r="F31" s="334"/>
      <c r="G31" s="334"/>
      <c r="H31" s="334" t="s">
        <v>482</v>
      </c>
      <c r="I31" s="600">
        <v>97979.17</v>
      </c>
    </row>
    <row r="32" spans="2:21" ht="21" customHeight="1">
      <c r="B32" s="406" t="str">
        <f>"Required Appropriation "&amp;TEXT('KEY INPUTS'!D34+1,"0")</f>
        <v>Required Appropriation 2020</v>
      </c>
      <c r="C32" s="402"/>
      <c r="D32" s="334"/>
      <c r="E32" s="334"/>
      <c r="F32" s="334"/>
      <c r="G32" s="334"/>
      <c r="H32" s="334"/>
      <c r="I32" s="414"/>
      <c r="J32" s="506" t="s">
        <v>482</v>
      </c>
      <c r="K32" s="1847">
        <f>+I30+I31</f>
        <v>245620.83999999997</v>
      </c>
      <c r="L32" s="1848"/>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46" t="str">
        <f>"LIST  OF  LOANS  ISSUED  DURING  "&amp;TEXT('KEY INPUTS'!D34,"0")&amp;""</f>
        <v>LIST  OF  LOANS  ISSUED  DURING  2019</v>
      </c>
      <c r="C35" s="1846"/>
      <c r="D35" s="1846"/>
      <c r="E35" s="1846"/>
      <c r="F35" s="1846"/>
      <c r="G35" s="1846"/>
      <c r="H35" s="1846"/>
      <c r="I35" s="1846"/>
      <c r="J35" s="1846"/>
      <c r="K35" s="1846"/>
      <c r="L35" s="1846"/>
    </row>
    <row r="36" spans="2:12" ht="27" customHeight="1" thickTop="1" thickBot="1">
      <c r="B36" s="1854" t="s">
        <v>532</v>
      </c>
      <c r="C36" s="1854"/>
      <c r="D36" s="1854"/>
      <c r="E36" s="1854"/>
      <c r="F36" s="1854"/>
      <c r="G36" s="493" t="str">
        <f>TEXT('KEY INPUTS'!D34,"0")&amp;" Maturity"</f>
        <v>2019 Maturity</v>
      </c>
      <c r="H36" s="1852" t="s">
        <v>109</v>
      </c>
      <c r="I36" s="1853"/>
      <c r="J36" s="1857" t="s">
        <v>107</v>
      </c>
      <c r="K36" s="1858"/>
      <c r="L36" s="507"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413"/>
      <c r="C41" s="413"/>
      <c r="D41" s="413"/>
      <c r="E41" s="413"/>
      <c r="F41" s="412"/>
      <c r="G41" s="137">
        <f>SUM(G37:G40)</f>
        <v>0</v>
      </c>
      <c r="H41" s="1716">
        <f>SUM(H37:I40)</f>
        <v>0</v>
      </c>
      <c r="I41" s="1717"/>
      <c r="J41" s="505"/>
      <c r="K41" s="413"/>
      <c r="L41" s="417"/>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password="CAF9"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7">
    <tabColor theme="6" tint="0.39997558519241921"/>
  </sheetPr>
  <dimension ref="B2:U51"/>
  <sheetViews>
    <sheetView topLeftCell="A4"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7" t="s">
        <v>606</v>
      </c>
      <c r="C2" s="1817"/>
      <c r="D2" s="1817"/>
      <c r="E2" s="1817"/>
      <c r="F2" s="1817"/>
      <c r="G2" s="1817"/>
      <c r="H2" s="1817"/>
      <c r="I2" s="1817"/>
      <c r="J2" s="1817"/>
      <c r="K2" s="1817"/>
      <c r="L2" s="1817"/>
    </row>
    <row r="3" spans="2:21" ht="20.399999999999999">
      <c r="B3" s="1850" t="str">
        <f>"AND  "&amp;TEXT('KEY INPUTS'!D34+1,"0")&amp;"  DEBT  SERVICE  FOR  LOANS"</f>
        <v>AND  2020  DEBT  SERVICE  FOR  LOANS</v>
      </c>
      <c r="C3" s="1850"/>
      <c r="D3" s="1850"/>
      <c r="E3" s="1850"/>
      <c r="F3" s="1850"/>
      <c r="G3" s="1850"/>
      <c r="H3" s="1850"/>
      <c r="I3" s="1850"/>
      <c r="J3" s="1850"/>
      <c r="K3" s="1850"/>
      <c r="L3" s="1850"/>
    </row>
    <row r="4" spans="2:21" ht="15.6">
      <c r="B4" s="1851" t="str">
        <f>UPPER('KEY INPUTS'!D$52)&amp;"  UTILITY"&amp;" ________________ LOAN"</f>
        <v>WATER  UTILITY ________________ LOAN</v>
      </c>
      <c r="C4" s="1851"/>
      <c r="D4" s="1851"/>
      <c r="E4" s="1851"/>
      <c r="F4" s="1851"/>
      <c r="G4" s="1851"/>
      <c r="H4" s="1851"/>
      <c r="I4" s="1851"/>
      <c r="J4" s="1851"/>
      <c r="K4" s="1851"/>
      <c r="L4" s="1851"/>
    </row>
    <row r="5" spans="2:21" ht="9.75" customHeight="1" thickBot="1">
      <c r="B5" s="809"/>
      <c r="C5" s="809"/>
      <c r="D5" s="809"/>
      <c r="E5" s="809"/>
      <c r="F5" s="809"/>
      <c r="G5" s="809"/>
      <c r="H5" s="809"/>
      <c r="I5" s="809"/>
      <c r="J5" s="809"/>
      <c r="K5" s="809"/>
      <c r="L5" s="809"/>
    </row>
    <row r="6" spans="2:21" ht="27.75" customHeight="1" thickTop="1" thickBot="1">
      <c r="B6" s="516"/>
      <c r="C6" s="516"/>
      <c r="D6" s="516"/>
      <c r="E6" s="516"/>
      <c r="F6" s="516"/>
      <c r="G6" s="410" t="s">
        <v>125</v>
      </c>
      <c r="H6" s="1852" t="s">
        <v>126</v>
      </c>
      <c r="I6" s="1853"/>
      <c r="J6" s="1835" t="str">
        <f>'KEY INPUTS'!D34&amp;" Debt
Service"</f>
        <v>2019 Debt
Service</v>
      </c>
      <c r="K6" s="1836"/>
      <c r="L6" s="1836"/>
      <c r="O6" s="322"/>
      <c r="P6" s="322"/>
      <c r="Q6" s="322"/>
      <c r="R6" s="322"/>
      <c r="S6" s="322"/>
      <c r="T6" s="322"/>
      <c r="U6" s="322"/>
    </row>
    <row r="7" spans="2:21" ht="21" customHeight="1" thickTop="1">
      <c r="B7" s="474" t="str">
        <f>'KEY INPUTS'!D27</f>
        <v>Outstanding - January 1, 2019</v>
      </c>
      <c r="C7" s="415"/>
      <c r="D7" s="415"/>
      <c r="E7" s="415"/>
      <c r="F7" s="415"/>
      <c r="G7" s="145" t="s">
        <v>788</v>
      </c>
      <c r="H7" s="1706"/>
      <c r="I7" s="1707"/>
      <c r="O7" s="322"/>
      <c r="P7" s="322"/>
      <c r="Q7" s="322"/>
      <c r="R7" s="322"/>
      <c r="S7" s="322"/>
      <c r="T7" s="322"/>
      <c r="U7" s="322"/>
    </row>
    <row r="8" spans="2:21" ht="21" customHeight="1">
      <c r="B8" s="402" t="s">
        <v>113</v>
      </c>
      <c r="C8" s="334"/>
      <c r="D8" s="334"/>
      <c r="E8" s="334"/>
      <c r="F8" s="334"/>
      <c r="G8" s="146" t="s">
        <v>788</v>
      </c>
      <c r="H8" s="1680"/>
      <c r="I8" s="1681"/>
      <c r="O8" s="377"/>
      <c r="P8" s="322"/>
      <c r="Q8" s="322"/>
      <c r="R8" s="322"/>
      <c r="S8" s="322"/>
      <c r="T8" s="322"/>
      <c r="U8" s="322"/>
    </row>
    <row r="9" spans="2:21" ht="21" customHeight="1">
      <c r="B9" s="402"/>
      <c r="C9" s="334"/>
      <c r="D9" s="334"/>
      <c r="E9" s="334"/>
      <c r="F9" s="334"/>
      <c r="G9" s="146"/>
      <c r="H9" s="808"/>
      <c r="I9" s="1004"/>
      <c r="O9" s="322"/>
      <c r="P9" s="322"/>
      <c r="Q9" s="322"/>
      <c r="R9" s="322"/>
      <c r="S9" s="322"/>
      <c r="T9" s="322"/>
      <c r="U9" s="322"/>
    </row>
    <row r="10" spans="2:21" ht="21" customHeight="1">
      <c r="B10" s="402" t="s">
        <v>326</v>
      </c>
      <c r="C10" s="334"/>
      <c r="D10" s="334"/>
      <c r="E10" s="334"/>
      <c r="F10" s="334"/>
      <c r="G10" s="601"/>
      <c r="H10" s="1662" t="s">
        <v>788</v>
      </c>
      <c r="I10" s="1663"/>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64" t="s">
        <v>788</v>
      </c>
      <c r="I11" s="1665"/>
      <c r="O11" s="322"/>
      <c r="P11" s="322"/>
      <c r="Q11" s="322"/>
      <c r="R11" s="322"/>
      <c r="S11" s="322"/>
      <c r="T11" s="322"/>
      <c r="U11" s="322"/>
    </row>
    <row r="12" spans="2:21" ht="21" customHeight="1" thickBot="1">
      <c r="B12" s="398"/>
      <c r="G12" s="137">
        <f>SUM(G7:G11)</f>
        <v>0</v>
      </c>
      <c r="H12" s="1711">
        <f>SUM(H7:I11)</f>
        <v>0</v>
      </c>
      <c r="I12" s="171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5"/>
      <c r="L13" s="171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5"/>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823" t="str">
        <f>UPPER('KEY INPUTS'!D$52)&amp;"  UTILITY"&amp;" ________________ LOAN"</f>
        <v>WATER  UTILITY ________________ LOAN</v>
      </c>
      <c r="C16" s="1823"/>
      <c r="D16" s="1823"/>
      <c r="E16" s="1823"/>
      <c r="F16" s="1823"/>
      <c r="G16" s="1823"/>
      <c r="H16" s="1823"/>
      <c r="I16" s="1824"/>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706"/>
      <c r="I17" s="1707"/>
      <c r="O17" s="322"/>
      <c r="P17" s="322"/>
      <c r="Q17" s="322"/>
      <c r="R17" s="322"/>
      <c r="S17" s="322"/>
      <c r="T17" s="322"/>
      <c r="U17" s="322"/>
    </row>
    <row r="18" spans="2:21" ht="21" customHeight="1">
      <c r="B18" s="402" t="s">
        <v>113</v>
      </c>
      <c r="C18" s="334"/>
      <c r="D18" s="334"/>
      <c r="E18" s="334"/>
      <c r="F18" s="334"/>
      <c r="G18" s="146" t="s">
        <v>788</v>
      </c>
      <c r="H18" s="1680"/>
      <c r="I18" s="1681"/>
      <c r="O18" s="322"/>
      <c r="P18" s="322"/>
      <c r="Q18" s="322"/>
      <c r="R18" s="322"/>
      <c r="S18" s="322"/>
      <c r="T18" s="322"/>
      <c r="U18" s="322"/>
    </row>
    <row r="19" spans="2:21" ht="21" customHeight="1">
      <c r="B19" s="402" t="s">
        <v>326</v>
      </c>
      <c r="C19" s="334"/>
      <c r="D19" s="334"/>
      <c r="E19" s="334"/>
      <c r="F19" s="334"/>
      <c r="G19" s="601"/>
      <c r="H19" s="1662" t="s">
        <v>788</v>
      </c>
      <c r="I19" s="1663"/>
      <c r="O19" s="322"/>
      <c r="P19" s="322"/>
      <c r="Q19" s="322"/>
      <c r="R19" s="322"/>
      <c r="S19" s="322"/>
      <c r="T19" s="322"/>
      <c r="U19" s="322"/>
    </row>
    <row r="20" spans="2:21" ht="21" customHeight="1">
      <c r="B20" s="402"/>
      <c r="C20" s="334"/>
      <c r="D20" s="334"/>
      <c r="E20" s="334"/>
      <c r="F20" s="334"/>
      <c r="G20" s="120"/>
      <c r="H20" s="1855"/>
      <c r="I20" s="1856"/>
      <c r="O20" s="322"/>
      <c r="P20" s="322"/>
      <c r="Q20" s="322"/>
      <c r="R20" s="322"/>
      <c r="S20" s="322"/>
      <c r="T20" s="322"/>
      <c r="U20" s="322"/>
    </row>
    <row r="21" spans="2:21" ht="21" customHeight="1">
      <c r="B21" s="402"/>
      <c r="C21" s="334"/>
      <c r="D21" s="334"/>
      <c r="E21" s="334"/>
      <c r="F21" s="334"/>
      <c r="G21" s="120"/>
      <c r="H21" s="1855"/>
      <c r="I21" s="185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4" t="s">
        <v>788</v>
      </c>
      <c r="I22" s="1665"/>
      <c r="O22" s="322"/>
      <c r="P22" s="322"/>
      <c r="Q22" s="322"/>
      <c r="R22" s="322"/>
      <c r="S22" s="322"/>
      <c r="T22" s="322"/>
      <c r="U22" s="322"/>
    </row>
    <row r="23" spans="2:21" ht="21" customHeight="1" thickBot="1">
      <c r="B23" s="398"/>
      <c r="G23" s="137">
        <f>SUM(G17:G22)</f>
        <v>0</v>
      </c>
      <c r="H23" s="1711">
        <f>SUM(H17:I22)</f>
        <v>0</v>
      </c>
      <c r="I23" s="1712"/>
    </row>
    <row r="24" spans="2:21" ht="21" customHeight="1" thickTop="1">
      <c r="B24" s="501" t="str">
        <f>TEXT('KEY INPUTS'!D34+1,"0")&amp;" Loan Maturities"</f>
        <v>2020 Loan Maturities</v>
      </c>
      <c r="C24" s="479"/>
      <c r="D24" s="479"/>
      <c r="E24" s="479"/>
      <c r="F24" s="479"/>
      <c r="G24" s="479"/>
      <c r="H24" s="479"/>
      <c r="I24" s="515"/>
      <c r="J24" s="479" t="s">
        <v>482</v>
      </c>
      <c r="K24" s="1715"/>
      <c r="L24" s="171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823" t="str">
        <f>"INTEREST  ON  LOANS  - "&amp;UPPER('KEY INPUTS'!D52)&amp;"  UTILITY  BUDGET"</f>
        <v>INTEREST  ON  LOANS  - WATER  UTILITY  BUDGET</v>
      </c>
      <c r="C27" s="1823"/>
      <c r="D27" s="1823"/>
      <c r="E27" s="1823"/>
      <c r="F27" s="1823"/>
      <c r="G27" s="1823"/>
      <c r="H27" s="1823"/>
      <c r="I27" s="1823"/>
      <c r="J27" s="1823"/>
      <c r="K27" s="1823"/>
      <c r="L27" s="1823"/>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414"/>
      <c r="J32" s="506" t="s">
        <v>482</v>
      </c>
      <c r="K32" s="1847">
        <f>+I30+I31</f>
        <v>0</v>
      </c>
      <c r="L32" s="1848"/>
    </row>
    <row r="33" spans="2:12" ht="13.5" customHeight="1">
      <c r="B33" s="510"/>
      <c r="C33" s="510"/>
      <c r="D33" s="510"/>
      <c r="E33" s="510"/>
      <c r="F33" s="510"/>
      <c r="G33" s="510"/>
      <c r="H33" s="510"/>
      <c r="I33" s="510"/>
      <c r="J33" s="510"/>
      <c r="K33" s="509"/>
      <c r="L33" s="811"/>
    </row>
    <row r="34" spans="2:12" ht="13.5" customHeight="1">
      <c r="B34" s="510"/>
      <c r="C34" s="510"/>
      <c r="D34" s="510"/>
      <c r="E34" s="510"/>
      <c r="F34" s="510"/>
      <c r="G34" s="510"/>
      <c r="H34" s="510"/>
      <c r="I34" s="510"/>
      <c r="J34" s="510"/>
      <c r="K34" s="509"/>
      <c r="L34" s="811"/>
    </row>
    <row r="35" spans="2:12" ht="21" customHeight="1" thickBot="1">
      <c r="B35" s="1846" t="str">
        <f>"LIST  OF  LOANS  ISSUED  DURING  "&amp;TEXT('KEY INPUTS'!D34,"0")&amp;""</f>
        <v>LIST  OF  LOANS  ISSUED  DURING  2019</v>
      </c>
      <c r="C35" s="1846"/>
      <c r="D35" s="1846"/>
      <c r="E35" s="1846"/>
      <c r="F35" s="1846"/>
      <c r="G35" s="1846"/>
      <c r="H35" s="1846"/>
      <c r="I35" s="1846"/>
      <c r="J35" s="1846"/>
      <c r="K35" s="1846"/>
      <c r="L35" s="1846"/>
    </row>
    <row r="36" spans="2:12" ht="27" customHeight="1" thickTop="1" thickBot="1">
      <c r="B36" s="1854" t="s">
        <v>532</v>
      </c>
      <c r="C36" s="1854"/>
      <c r="D36" s="1854"/>
      <c r="E36" s="1854"/>
      <c r="F36" s="1854"/>
      <c r="G36" s="493" t="str">
        <f>TEXT('KEY INPUTS'!D34,"0")&amp;" Maturity"</f>
        <v>2019 Maturity</v>
      </c>
      <c r="H36" s="1852" t="s">
        <v>109</v>
      </c>
      <c r="I36" s="1853"/>
      <c r="J36" s="1857" t="s">
        <v>107</v>
      </c>
      <c r="K36" s="1858"/>
      <c r="L36" s="81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413"/>
      <c r="C41" s="413"/>
      <c r="D41" s="413"/>
      <c r="E41" s="413"/>
      <c r="F41" s="412"/>
      <c r="G41" s="137">
        <f>SUM(G37:G40)</f>
        <v>0</v>
      </c>
      <c r="H41" s="1716">
        <f>SUM(H37:I40)</f>
        <v>0</v>
      </c>
      <c r="I41" s="1717"/>
      <c r="J41" s="505"/>
      <c r="K41" s="413"/>
      <c r="L41" s="417"/>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8">
    <tabColor theme="6" tint="0.39997558519241921"/>
  </sheetPr>
  <dimension ref="A2:V30"/>
  <sheetViews>
    <sheetView zoomScaleNormal="100" zoomScaleSheetLayoutView="80" workbookViewId="0">
      <selection activeCell="M27" sqref="M27"/>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9" t="str">
        <f>"DEBT  SERVICE  FOR  "&amp;UPPER('KEY INPUTS'!D52)&amp;"  UTILITY  NOTES  (OTHER  THAN  UTILITY  ASSESSMENT  NOTES)"</f>
        <v>DEBT  SERVICE  FOR  WATER  UTILITY  NOTES  (OTHER  THAN  UTILITY  ASSESSMENT  NOTES)</v>
      </c>
      <c r="C2" s="1789"/>
      <c r="D2" s="1789"/>
      <c r="E2" s="1789"/>
      <c r="F2" s="1789"/>
      <c r="G2" s="1789"/>
      <c r="H2" s="1789"/>
      <c r="I2" s="1789"/>
      <c r="J2" s="1789"/>
      <c r="K2" s="1789"/>
      <c r="L2" s="1789"/>
      <c r="M2" s="1789"/>
    </row>
    <row r="3" spans="1:22" ht="21" thickBot="1">
      <c r="B3" s="1850"/>
      <c r="C3" s="1850"/>
      <c r="D3" s="1850"/>
      <c r="E3" s="1850"/>
      <c r="F3" s="1850"/>
      <c r="G3" s="1850"/>
      <c r="H3" s="1850"/>
      <c r="I3" s="1850"/>
      <c r="J3" s="1850"/>
      <c r="K3" s="1850"/>
      <c r="L3" s="1850"/>
      <c r="M3" s="1850"/>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45"/>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thickBot="1">
      <c r="B9" s="537" t="s">
        <v>384</v>
      </c>
      <c r="C9" s="676" t="s">
        <v>3948</v>
      </c>
      <c r="D9" s="677" t="s">
        <v>3939</v>
      </c>
      <c r="E9" s="618">
        <v>2000000</v>
      </c>
      <c r="F9" s="1470">
        <v>43782</v>
      </c>
      <c r="G9" s="618">
        <v>2000000</v>
      </c>
      <c r="H9" s="679">
        <v>44147</v>
      </c>
      <c r="I9" s="620">
        <v>0.02</v>
      </c>
      <c r="J9" s="618"/>
      <c r="K9" s="618">
        <f>+G9*I9</f>
        <v>40000</v>
      </c>
      <c r="L9" s="629"/>
      <c r="M9" s="679">
        <v>44147</v>
      </c>
      <c r="P9" s="322"/>
      <c r="Q9" s="322"/>
      <c r="R9" s="322"/>
      <c r="S9" s="322"/>
      <c r="T9" s="322"/>
      <c r="U9" s="322"/>
      <c r="V9" s="322"/>
    </row>
    <row r="10" spans="1:22" ht="21" customHeight="1" thickTop="1">
      <c r="B10" s="536" t="s">
        <v>385</v>
      </c>
      <c r="C10" s="681" t="s">
        <v>3953</v>
      </c>
      <c r="D10" s="652" t="s">
        <v>3943</v>
      </c>
      <c r="E10" s="601">
        <v>600000</v>
      </c>
      <c r="F10" s="1471">
        <v>43782</v>
      </c>
      <c r="G10" s="601">
        <v>600000</v>
      </c>
      <c r="H10" s="1504">
        <v>44147</v>
      </c>
      <c r="I10" s="683">
        <v>0.02</v>
      </c>
      <c r="J10" s="684"/>
      <c r="K10" s="618">
        <f>+G10*I10</f>
        <v>12000</v>
      </c>
      <c r="L10" s="631"/>
      <c r="M10" s="1504">
        <v>44147</v>
      </c>
      <c r="N10" s="398" t="s">
        <v>3408</v>
      </c>
      <c r="O10" s="398" t="s">
        <v>3408</v>
      </c>
      <c r="P10" s="377"/>
      <c r="Q10" s="322"/>
      <c r="R10" s="322"/>
      <c r="S10" s="322"/>
      <c r="T10" s="322"/>
      <c r="U10" s="322"/>
      <c r="V10" s="322"/>
    </row>
    <row r="11" spans="1:22" ht="21" customHeight="1">
      <c r="B11" s="536" t="s">
        <v>386</v>
      </c>
      <c r="C11" s="648"/>
      <c r="D11" s="652"/>
      <c r="E11" s="601"/>
      <c r="F11" s="1472"/>
      <c r="G11" s="601"/>
      <c r="H11" s="601"/>
      <c r="I11" s="623"/>
      <c r="J11" s="601"/>
      <c r="K11" s="601"/>
      <c r="L11" s="631"/>
      <c r="M11" s="685"/>
      <c r="P11" s="322"/>
      <c r="Q11" s="322"/>
      <c r="R11" s="322"/>
      <c r="S11" s="322"/>
      <c r="T11" s="322"/>
      <c r="U11" s="322"/>
      <c r="V11" s="322"/>
    </row>
    <row r="12" spans="1:22" ht="21" customHeight="1">
      <c r="B12" s="536" t="s">
        <v>387</v>
      </c>
      <c r="C12" s="648"/>
      <c r="D12" s="652"/>
      <c r="E12" s="601"/>
      <c r="F12" s="1472"/>
      <c r="G12" s="601"/>
      <c r="H12" s="601"/>
      <c r="I12" s="623"/>
      <c r="J12" s="601"/>
      <c r="K12" s="601"/>
      <c r="L12" s="631"/>
      <c r="M12" s="685"/>
      <c r="P12" s="322"/>
      <c r="Q12" s="322"/>
      <c r="R12" s="322"/>
      <c r="S12" s="322"/>
      <c r="T12" s="322"/>
      <c r="U12" s="322"/>
      <c r="V12" s="322"/>
    </row>
    <row r="13" spans="1:22" ht="21" customHeight="1">
      <c r="B13" s="536" t="s">
        <v>388</v>
      </c>
      <c r="C13" s="648"/>
      <c r="D13" s="652"/>
      <c r="E13" s="601"/>
      <c r="F13" s="1472"/>
      <c r="G13" s="601"/>
      <c r="H13" s="601"/>
      <c r="I13" s="623"/>
      <c r="J13" s="601"/>
      <c r="K13" s="601"/>
      <c r="L13" s="631"/>
      <c r="M13" s="685"/>
      <c r="P13" s="322"/>
      <c r="Q13" s="322"/>
      <c r="R13" s="322"/>
      <c r="S13" s="322"/>
      <c r="T13" s="322"/>
      <c r="U13" s="322"/>
      <c r="V13" s="322"/>
    </row>
    <row r="14" spans="1:22" ht="21" customHeight="1">
      <c r="B14" s="536" t="s">
        <v>389</v>
      </c>
      <c r="C14" s="648"/>
      <c r="D14" s="652"/>
      <c r="E14" s="604"/>
      <c r="F14" s="1473"/>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1472"/>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1472"/>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1472"/>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2600000</v>
      </c>
      <c r="F18" s="693"/>
      <c r="G18" s="690">
        <f>SUM(G9:G17)</f>
        <v>2600000</v>
      </c>
      <c r="H18" s="690"/>
      <c r="I18" s="694"/>
      <c r="J18" s="690">
        <f>SUM(J9:J17)</f>
        <v>0</v>
      </c>
      <c r="K18" s="690">
        <f>SUM(K9:K17)</f>
        <v>52000</v>
      </c>
      <c r="L18" s="695"/>
      <c r="M18" s="696"/>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4" thickTop="1" thickBot="1">
      <c r="B22" s="472" t="s">
        <v>44</v>
      </c>
      <c r="C22" s="519"/>
      <c r="D22" s="528"/>
      <c r="E22" s="519"/>
      <c r="I22" s="1861" t="str">
        <f>"INTEREST  ON  NOTES  -  "&amp;UPPER('KEY INPUTS'!D52)&amp;" UTILITY  BUDGET"</f>
        <v>INTEREST  ON  NOTES  -  WATER UTILITY  BUDGET</v>
      </c>
      <c r="J22" s="1862"/>
      <c r="K22" s="1862"/>
      <c r="L22" s="1862"/>
      <c r="M22" s="1863"/>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482</v>
      </c>
      <c r="M23" s="1236">
        <f>K18</f>
        <v>52000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3">
        <v>6500</v>
      </c>
      <c r="P24" s="322"/>
      <c r="Q24" s="322"/>
      <c r="R24" s="322"/>
      <c r="S24" s="322"/>
      <c r="T24" s="322"/>
      <c r="U24" s="322"/>
      <c r="V24" s="322"/>
    </row>
    <row r="25" spans="1:22" ht="15.6" customHeight="1">
      <c r="B25" s="472"/>
      <c r="C25" s="472"/>
      <c r="D25" s="472" t="s">
        <v>48</v>
      </c>
      <c r="E25" s="519"/>
      <c r="I25" s="491"/>
      <c r="J25" s="402" t="s">
        <v>421</v>
      </c>
      <c r="K25" s="402"/>
      <c r="L25" s="524" t="s">
        <v>482</v>
      </c>
      <c r="M25" s="1237">
        <f>+M23-M24</f>
        <v>45500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3">
        <v>6500</v>
      </c>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1238">
        <f>+M25+M26</f>
        <v>52000</v>
      </c>
    </row>
    <row r="28" spans="1:22" ht="13.8" thickTop="1">
      <c r="B28" s="472"/>
      <c r="C28" s="472"/>
      <c r="D28" s="472" t="s">
        <v>49</v>
      </c>
      <c r="E28" s="519"/>
    </row>
    <row r="29" spans="1:22">
      <c r="B29" s="519"/>
      <c r="C29" s="519"/>
      <c r="D29" s="520" t="s">
        <v>50</v>
      </c>
      <c r="E29" s="519"/>
    </row>
    <row r="30" spans="1:22">
      <c r="J30" s="518" t="s">
        <v>127</v>
      </c>
    </row>
  </sheetData>
  <sheetProtection algorithmName="SHA-512" hashValue="z8poSpD9ni5MJ8MqeDnFdy7T4L4cG3GnFNYobmFBNpWxc/50HlIn2C7lvmVyu1rdevy9d1VmiKEfhTB6+eKidg==" saltValue="CZKUZJPaDQIbD1f1WpS65w==" spinCount="100000" sheet="1" objects="1" scenarios="1"/>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7" width="16.6640625" style="322" customWidth="1"/>
    <col min="8" max="8" width="16" style="322" customWidth="1"/>
    <col min="9" max="12" width="9.109375" style="322"/>
    <col min="13" max="13" width="10.33203125" style="322" bestFit="1" customWidth="1"/>
    <col min="14" max="16384" width="9.109375" style="322"/>
  </cols>
  <sheetData>
    <row r="3" spans="2:11" ht="22.8">
      <c r="B3" s="1548" t="s">
        <v>543</v>
      </c>
      <c r="C3" s="1548"/>
      <c r="D3" s="1548"/>
      <c r="E3" s="1548"/>
      <c r="F3" s="1548"/>
      <c r="G3" s="1548"/>
      <c r="H3" s="1548"/>
    </row>
    <row r="4" spans="2:11" ht="22.8">
      <c r="B4" s="1548" t="s">
        <v>697</v>
      </c>
      <c r="C4" s="1548"/>
      <c r="D4" s="1548"/>
      <c r="E4" s="1548"/>
      <c r="F4" s="1548"/>
      <c r="G4" s="1548"/>
      <c r="H4" s="1548"/>
    </row>
    <row r="5" spans="2:11" ht="17.399999999999999">
      <c r="B5" s="1559" t="s">
        <v>781</v>
      </c>
      <c r="C5" s="1559"/>
      <c r="D5" s="1559"/>
      <c r="E5" s="1559"/>
      <c r="F5" s="1559"/>
      <c r="G5" s="1559"/>
      <c r="H5" s="1559"/>
    </row>
    <row r="6" spans="2:11" ht="15.6">
      <c r="B6" s="1555" t="str">
        <f>'KEY INPUTS'!D44</f>
        <v>AS  AT  DECEMBER  31, 2019</v>
      </c>
      <c r="C6" s="1509"/>
      <c r="D6" s="1509"/>
      <c r="E6" s="1509"/>
      <c r="F6" s="1509"/>
      <c r="G6" s="1509"/>
      <c r="H6" s="1509"/>
    </row>
    <row r="7" spans="2:11" ht="13.8" thickBot="1"/>
    <row r="8" spans="2:11" ht="36" customHeight="1" thickTop="1" thickBot="1">
      <c r="B8" s="1552" t="s">
        <v>124</v>
      </c>
      <c r="C8" s="1552"/>
      <c r="D8" s="1552"/>
      <c r="E8" s="1552"/>
      <c r="F8" s="1553"/>
      <c r="G8" s="4" t="s">
        <v>125</v>
      </c>
      <c r="H8" s="735" t="s">
        <v>126</v>
      </c>
    </row>
    <row r="9" spans="2:11" ht="21" customHeight="1" thickTop="1">
      <c r="B9" s="856" t="s">
        <v>3532</v>
      </c>
      <c r="C9" s="841"/>
      <c r="D9" s="841"/>
      <c r="E9" s="841"/>
      <c r="F9" s="841"/>
      <c r="G9" s="842">
        <f>+'6.1-Trial Bal-Trust Fnds'!G44</f>
        <v>5664283.6099999994</v>
      </c>
      <c r="H9" s="843">
        <f>+'6.1-Trial Bal-Trust Fnds'!H44</f>
        <v>5664283.6099999994</v>
      </c>
      <c r="I9" s="743"/>
    </row>
    <row r="10" spans="2:11" ht="21" customHeight="1">
      <c r="B10" s="845" t="s">
        <v>3531</v>
      </c>
      <c r="C10" s="640"/>
      <c r="D10" s="640"/>
      <c r="E10" s="640"/>
      <c r="F10" s="640"/>
      <c r="G10" s="844"/>
      <c r="H10" s="664"/>
    </row>
    <row r="11" spans="2:11" ht="21" customHeight="1">
      <c r="B11" s="566"/>
      <c r="C11" s="566"/>
      <c r="D11" s="566"/>
      <c r="E11" s="566"/>
      <c r="F11" s="566"/>
      <c r="G11" s="374"/>
      <c r="H11" s="578"/>
      <c r="I11" s="743"/>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5" t="s">
        <v>1001</v>
      </c>
      <c r="C44" s="640"/>
      <c r="D44" s="640"/>
      <c r="E44" s="640"/>
      <c r="F44" s="640"/>
      <c r="G44" s="844">
        <f>SUM(G9:G43)</f>
        <v>5664283.6099999994</v>
      </c>
      <c r="H44" s="853">
        <f>SUM(H9:H43)</f>
        <v>5664283.6099999994</v>
      </c>
    </row>
    <row r="45" spans="2:13">
      <c r="B45" s="1560" t="s">
        <v>127</v>
      </c>
      <c r="C45" s="1560"/>
      <c r="D45" s="1560"/>
      <c r="E45" s="1560"/>
      <c r="F45" s="1560"/>
      <c r="G45" s="1560"/>
      <c r="H45" s="1560"/>
    </row>
    <row r="46" spans="2:13">
      <c r="B46" s="963"/>
      <c r="C46" s="963"/>
      <c r="D46" s="963"/>
      <c r="E46" s="963"/>
      <c r="F46" s="963"/>
      <c r="G46" s="963"/>
      <c r="H46" s="963"/>
    </row>
    <row r="47" spans="2:13">
      <c r="B47" s="855"/>
      <c r="C47" s="855"/>
      <c r="D47" s="855"/>
      <c r="E47" s="855"/>
      <c r="F47" s="855"/>
      <c r="G47" s="855"/>
      <c r="H47" s="855"/>
    </row>
    <row r="48" spans="2:13" ht="13.8">
      <c r="B48" s="1561" t="s">
        <v>3534</v>
      </c>
      <c r="C48" s="1561"/>
      <c r="D48" s="1561"/>
      <c r="E48" s="1561"/>
      <c r="F48" s="1561"/>
      <c r="G48" s="1561"/>
      <c r="H48" s="1561"/>
    </row>
  </sheetData>
  <sheetProtection algorithmName="SHA-512" hashValue="zqAzMUQqXFbBXhT1xRg1PC11uVdpRRj+nQroaxnGsY82uGnfLnf868hf+idWmAWfJfFlenO8XyA4S8UsSK5z5w==" saltValue="yD9lypS4n64Wjj/xLwwal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9">
    <tabColor theme="6" tint="0.39997558519241921"/>
  </sheetPr>
  <dimension ref="A1: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8"/>
      <c r="C1" s="1148"/>
      <c r="D1" s="1148"/>
      <c r="E1" s="1148"/>
      <c r="F1" s="1148"/>
      <c r="G1" s="1148"/>
      <c r="H1" s="1148"/>
      <c r="I1" s="1148"/>
      <c r="J1" s="1148"/>
      <c r="K1" s="1148"/>
      <c r="L1" s="1148"/>
    </row>
    <row r="2" spans="1:20" ht="20.399999999999999">
      <c r="B2" s="1789" t="str">
        <f>"DEBT  SERVICE  SCHEDULE  FOR  "&amp;UPPER('KEY INPUTS'!D52) &amp;"  UTILITY  ASSESSMENT  NOTES"</f>
        <v>DEBT  SERVICE  SCHEDULE  FOR  WATER  UTILITY  ASSESSMENT  NOTES</v>
      </c>
      <c r="C2" s="1789"/>
      <c r="D2" s="1789"/>
      <c r="E2" s="1789"/>
      <c r="F2" s="1789"/>
      <c r="G2" s="1789"/>
      <c r="H2" s="1789"/>
      <c r="I2" s="1789"/>
      <c r="J2" s="1789"/>
      <c r="K2" s="1789"/>
      <c r="L2" s="1789"/>
    </row>
    <row r="3" spans="1:20" ht="21" thickBot="1">
      <c r="B3" s="1871"/>
      <c r="C3" s="1871"/>
      <c r="D3" s="1871"/>
      <c r="E3" s="1871"/>
      <c r="F3" s="1871"/>
      <c r="G3" s="1871"/>
      <c r="H3" s="1871"/>
      <c r="I3" s="1871"/>
      <c r="J3" s="1871"/>
      <c r="K3" s="1871"/>
      <c r="L3" s="1871"/>
    </row>
    <row r="4" spans="1:20" ht="13.5" customHeight="1" thickTop="1">
      <c r="B4" s="1873"/>
      <c r="C4" s="1873"/>
      <c r="D4" s="1874"/>
      <c r="E4" s="1240"/>
      <c r="F4" s="1145"/>
      <c r="G4" s="1145"/>
      <c r="H4" s="1145"/>
      <c r="I4" s="1145"/>
      <c r="J4" s="1144"/>
      <c r="K4" s="1144"/>
      <c r="L4" s="1147"/>
    </row>
    <row r="5" spans="1:20" ht="13.5" customHeight="1">
      <c r="B5" s="1148"/>
      <c r="C5" s="1148"/>
      <c r="D5" s="1148"/>
      <c r="E5" s="1149" t="s">
        <v>176</v>
      </c>
      <c r="F5" s="1153" t="s">
        <v>176</v>
      </c>
      <c r="G5" s="1153" t="s">
        <v>533</v>
      </c>
      <c r="H5" s="1153" t="s">
        <v>18</v>
      </c>
      <c r="I5" s="1153" t="s">
        <v>685</v>
      </c>
      <c r="J5" s="1867">
        <f>'KEY INPUTS'!D33</f>
        <v>2020</v>
      </c>
      <c r="K5" s="1868"/>
      <c r="L5" s="1151" t="s">
        <v>686</v>
      </c>
    </row>
    <row r="6" spans="1:20" ht="13.5" customHeight="1">
      <c r="B6" s="1148"/>
      <c r="C6" s="1788" t="s">
        <v>175</v>
      </c>
      <c r="D6" s="1872"/>
      <c r="E6" s="1149" t="s">
        <v>533</v>
      </c>
      <c r="F6" s="1153" t="s">
        <v>177</v>
      </c>
      <c r="G6" s="1153" t="s">
        <v>682</v>
      </c>
      <c r="H6" s="1153" t="s">
        <v>683</v>
      </c>
      <c r="I6" s="1153" t="s">
        <v>683</v>
      </c>
      <c r="J6" s="1869"/>
      <c r="K6" s="1870"/>
      <c r="L6" s="1151" t="s">
        <v>689</v>
      </c>
    </row>
    <row r="7" spans="1:20" ht="13.5" customHeight="1">
      <c r="B7" s="1148"/>
      <c r="C7" s="1148"/>
      <c r="D7" s="1148"/>
      <c r="E7" s="1149" t="s">
        <v>113</v>
      </c>
      <c r="F7" s="1149" t="s">
        <v>178</v>
      </c>
      <c r="G7" s="1149" t="s">
        <v>257</v>
      </c>
      <c r="H7" s="1149" t="s">
        <v>684</v>
      </c>
      <c r="I7" s="1149" t="s">
        <v>686</v>
      </c>
      <c r="J7" s="1149" t="s">
        <v>142</v>
      </c>
      <c r="K7" s="1149" t="s">
        <v>687</v>
      </c>
      <c r="L7" s="1151" t="s">
        <v>690</v>
      </c>
      <c r="N7" s="322"/>
      <c r="O7" s="322"/>
      <c r="P7" s="322"/>
      <c r="Q7" s="322"/>
      <c r="R7" s="322"/>
      <c r="S7" s="322"/>
      <c r="T7" s="322"/>
    </row>
    <row r="8" spans="1:20" ht="13.5" customHeight="1" thickBot="1">
      <c r="B8" s="1155"/>
      <c r="C8" s="1155"/>
      <c r="D8" s="1155"/>
      <c r="E8" s="1156"/>
      <c r="F8" s="1156"/>
      <c r="G8" s="1249" t="str">
        <f>'KEY INPUTS'!D46</f>
        <v>Dec. 31, 2019</v>
      </c>
      <c r="H8" s="1156"/>
      <c r="I8" s="1156"/>
      <c r="J8" s="1157"/>
      <c r="K8" s="1257" t="s">
        <v>688</v>
      </c>
      <c r="L8" s="1159"/>
      <c r="N8" s="322"/>
      <c r="O8" s="322"/>
      <c r="P8" s="322"/>
      <c r="Q8" s="322"/>
      <c r="R8" s="322"/>
      <c r="S8" s="322"/>
      <c r="T8" s="322"/>
    </row>
    <row r="9" spans="1:20" ht="21" customHeight="1" thickTop="1">
      <c r="B9" s="1875"/>
      <c r="C9" s="1875"/>
      <c r="D9" s="1876"/>
      <c r="E9" s="618"/>
      <c r="F9" s="698"/>
      <c r="G9" s="618"/>
      <c r="H9" s="618"/>
      <c r="I9" s="620"/>
      <c r="J9" s="618"/>
      <c r="K9" s="618"/>
      <c r="L9" s="699"/>
      <c r="N9" s="377"/>
      <c r="O9" s="322"/>
      <c r="P9" s="322"/>
      <c r="Q9" s="322"/>
      <c r="R9" s="322"/>
      <c r="S9" s="322"/>
      <c r="T9" s="322"/>
    </row>
    <row r="10" spans="1:20" ht="21" customHeight="1">
      <c r="B10" s="1877"/>
      <c r="C10" s="1877"/>
      <c r="D10" s="1878"/>
      <c r="E10" s="601"/>
      <c r="F10" s="686"/>
      <c r="G10" s="601"/>
      <c r="H10" s="601"/>
      <c r="I10" s="623"/>
      <c r="J10" s="601"/>
      <c r="K10" s="601"/>
      <c r="L10" s="700"/>
      <c r="N10" s="322"/>
      <c r="O10" s="322"/>
      <c r="P10" s="322"/>
      <c r="Q10" s="322"/>
      <c r="R10" s="322"/>
      <c r="S10" s="322"/>
      <c r="T10" s="322"/>
    </row>
    <row r="11" spans="1:20" ht="21" customHeight="1">
      <c r="B11" s="1877"/>
      <c r="C11" s="1877"/>
      <c r="D11" s="1878"/>
      <c r="E11" s="601"/>
      <c r="F11" s="686"/>
      <c r="G11" s="601"/>
      <c r="H11" s="601"/>
      <c r="I11" s="623"/>
      <c r="J11" s="601"/>
      <c r="K11" s="601"/>
      <c r="L11" s="700"/>
      <c r="N11" s="322"/>
      <c r="O11" s="322"/>
      <c r="P11" s="322"/>
      <c r="Q11" s="322"/>
      <c r="R11" s="322"/>
      <c r="S11" s="322"/>
      <c r="T11" s="322"/>
    </row>
    <row r="12" spans="1:20" ht="21" customHeight="1">
      <c r="B12" s="1877"/>
      <c r="C12" s="1877"/>
      <c r="D12" s="1878"/>
      <c r="E12" s="601"/>
      <c r="F12" s="686"/>
      <c r="G12" s="601"/>
      <c r="H12" s="601"/>
      <c r="I12" s="623"/>
      <c r="J12" s="601"/>
      <c r="K12" s="601"/>
      <c r="L12" s="700"/>
      <c r="N12" s="322"/>
      <c r="O12" s="322"/>
      <c r="P12" s="322"/>
      <c r="Q12" s="322"/>
      <c r="R12" s="322"/>
      <c r="S12" s="322"/>
      <c r="T12" s="322"/>
    </row>
    <row r="13" spans="1:20" ht="21" customHeight="1">
      <c r="B13" s="1877"/>
      <c r="C13" s="1877"/>
      <c r="D13" s="1878"/>
      <c r="E13" s="601"/>
      <c r="F13" s="686"/>
      <c r="G13" s="601"/>
      <c r="H13" s="601"/>
      <c r="I13" s="623"/>
      <c r="J13" s="601"/>
      <c r="K13" s="601"/>
      <c r="L13" s="700"/>
      <c r="N13" s="322"/>
      <c r="O13" s="322"/>
      <c r="P13" s="322"/>
      <c r="Q13" s="322"/>
      <c r="R13" s="322"/>
      <c r="S13" s="322"/>
      <c r="T13" s="322"/>
    </row>
    <row r="14" spans="1:20" ht="21" customHeight="1">
      <c r="B14" s="1877"/>
      <c r="C14" s="1877"/>
      <c r="D14" s="1878"/>
      <c r="E14" s="604"/>
      <c r="F14" s="687"/>
      <c r="G14" s="604"/>
      <c r="H14" s="604"/>
      <c r="I14" s="626"/>
      <c r="J14" s="601"/>
      <c r="K14" s="601"/>
      <c r="L14" s="700"/>
      <c r="N14" s="322"/>
      <c r="O14" s="322"/>
      <c r="P14" s="322"/>
      <c r="Q14" s="322"/>
      <c r="R14" s="322"/>
      <c r="S14" s="322"/>
      <c r="T14" s="322"/>
    </row>
    <row r="15" spans="1:20" ht="21" customHeight="1">
      <c r="A15" s="1793" t="s">
        <v>3449</v>
      </c>
      <c r="B15" s="1877"/>
      <c r="C15" s="1877"/>
      <c r="D15" s="1878"/>
      <c r="E15" s="601"/>
      <c r="F15" s="686"/>
      <c r="G15" s="601"/>
      <c r="H15" s="601"/>
      <c r="I15" s="623"/>
      <c r="J15" s="601"/>
      <c r="K15" s="601"/>
      <c r="L15" s="700"/>
      <c r="N15" s="322"/>
      <c r="O15" s="322"/>
      <c r="P15" s="322"/>
      <c r="Q15" s="322"/>
      <c r="R15" s="322"/>
      <c r="S15" s="322"/>
      <c r="T15" s="322"/>
    </row>
    <row r="16" spans="1:20" ht="21" customHeight="1">
      <c r="A16" s="1793"/>
      <c r="B16" s="1877"/>
      <c r="C16" s="1877"/>
      <c r="D16" s="1878"/>
      <c r="E16" s="601"/>
      <c r="F16" s="686"/>
      <c r="G16" s="601"/>
      <c r="H16" s="601"/>
      <c r="I16" s="623"/>
      <c r="J16" s="601"/>
      <c r="K16" s="601"/>
      <c r="L16" s="700"/>
      <c r="N16" s="322"/>
      <c r="O16" s="322"/>
      <c r="P16" s="322"/>
      <c r="Q16" s="322"/>
      <c r="R16" s="322"/>
      <c r="S16" s="322"/>
      <c r="T16" s="322"/>
    </row>
    <row r="17" spans="1:20" ht="21" customHeight="1">
      <c r="A17" s="1793"/>
      <c r="B17" s="1877"/>
      <c r="C17" s="1877"/>
      <c r="D17" s="1878"/>
      <c r="E17" s="601"/>
      <c r="F17" s="686"/>
      <c r="G17" s="601"/>
      <c r="H17" s="601"/>
      <c r="I17" s="623"/>
      <c r="J17" s="601"/>
      <c r="K17" s="601"/>
      <c r="L17" s="700"/>
      <c r="N17" s="322"/>
      <c r="O17" s="322"/>
      <c r="P17" s="322"/>
      <c r="Q17" s="322"/>
      <c r="R17" s="322"/>
      <c r="S17" s="322"/>
      <c r="T17" s="322"/>
    </row>
    <row r="18" spans="1:20" ht="21" customHeight="1">
      <c r="A18" s="545"/>
      <c r="B18" s="1877"/>
      <c r="C18" s="1877"/>
      <c r="D18" s="1878"/>
      <c r="E18" s="601"/>
      <c r="F18" s="686"/>
      <c r="G18" s="601"/>
      <c r="H18" s="601"/>
      <c r="I18" s="623"/>
      <c r="J18" s="601"/>
      <c r="K18" s="601"/>
      <c r="L18" s="700"/>
      <c r="N18" s="322"/>
      <c r="O18" s="322"/>
      <c r="P18" s="322"/>
      <c r="Q18" s="322"/>
      <c r="R18" s="322"/>
      <c r="S18" s="322"/>
      <c r="T18" s="322"/>
    </row>
    <row r="19" spans="1:20" ht="21" customHeight="1">
      <c r="B19" s="1877"/>
      <c r="C19" s="1877"/>
      <c r="D19" s="1878"/>
      <c r="E19" s="601"/>
      <c r="F19" s="686"/>
      <c r="G19" s="601"/>
      <c r="H19" s="601"/>
      <c r="I19" s="623"/>
      <c r="J19" s="601"/>
      <c r="K19" s="601"/>
      <c r="L19" s="700"/>
      <c r="N19" s="322"/>
      <c r="O19" s="322"/>
      <c r="P19" s="322"/>
      <c r="Q19" s="322"/>
      <c r="R19" s="322"/>
      <c r="S19" s="322"/>
      <c r="T19" s="322"/>
    </row>
    <row r="20" spans="1:20" ht="21" customHeight="1">
      <c r="B20" s="1877"/>
      <c r="C20" s="1877"/>
      <c r="D20" s="1878"/>
      <c r="E20" s="601"/>
      <c r="F20" s="686"/>
      <c r="G20" s="601"/>
      <c r="H20" s="601"/>
      <c r="I20" s="623"/>
      <c r="J20" s="601"/>
      <c r="K20" s="601"/>
      <c r="L20" s="700"/>
      <c r="N20" s="322"/>
      <c r="O20" s="322"/>
      <c r="P20" s="322"/>
      <c r="Q20" s="322"/>
      <c r="R20" s="322"/>
      <c r="S20" s="322"/>
      <c r="T20" s="322"/>
    </row>
    <row r="21" spans="1:20" ht="21" customHeight="1">
      <c r="B21" s="1877"/>
      <c r="C21" s="1877"/>
      <c r="D21" s="1878"/>
      <c r="E21" s="601"/>
      <c r="F21" s="686"/>
      <c r="G21" s="601"/>
      <c r="H21" s="601"/>
      <c r="I21" s="623"/>
      <c r="J21" s="601"/>
      <c r="K21" s="601"/>
      <c r="L21" s="700"/>
      <c r="N21" s="322"/>
      <c r="O21" s="322"/>
      <c r="P21" s="322"/>
      <c r="Q21" s="322"/>
      <c r="R21" s="322"/>
      <c r="S21" s="322"/>
      <c r="T21" s="322"/>
    </row>
    <row r="22" spans="1:20" ht="21" customHeight="1">
      <c r="B22" s="1877"/>
      <c r="C22" s="1877"/>
      <c r="D22" s="1878"/>
      <c r="E22" s="601"/>
      <c r="F22" s="686"/>
      <c r="G22" s="601"/>
      <c r="H22" s="601"/>
      <c r="I22" s="623"/>
      <c r="J22" s="601"/>
      <c r="K22" s="601"/>
      <c r="L22" s="700"/>
      <c r="N22" s="322"/>
      <c r="O22" s="322"/>
      <c r="P22" s="322"/>
      <c r="Q22" s="322"/>
      <c r="R22" s="322"/>
      <c r="S22" s="322"/>
      <c r="T22" s="322"/>
    </row>
    <row r="23" spans="1:20" ht="21" customHeight="1" thickBot="1">
      <c r="B23" s="1258"/>
      <c r="C23" s="1234"/>
      <c r="D23" s="1259"/>
      <c r="E23" s="1133">
        <f>SUM(E9:E22)</f>
        <v>0</v>
      </c>
      <c r="F23" s="1248"/>
      <c r="G23" s="1133">
        <f>SUM(G9:G22)</f>
        <v>0</v>
      </c>
      <c r="H23" s="1133"/>
      <c r="I23" s="1133"/>
      <c r="J23" s="1133">
        <f>SUM(J9:J22)</f>
        <v>0</v>
      </c>
      <c r="K23" s="1133">
        <f>SUM(K9:K22)</f>
        <v>0</v>
      </c>
      <c r="L23" s="1260"/>
      <c r="N23" s="322"/>
      <c r="O23" s="322"/>
      <c r="P23" s="322"/>
      <c r="Q23" s="322"/>
      <c r="R23" s="322"/>
      <c r="S23" s="322"/>
      <c r="T23" s="322"/>
    </row>
    <row r="24" spans="1:20" ht="13.5" customHeight="1" thickTop="1">
      <c r="B24" s="1261" t="s">
        <v>44</v>
      </c>
      <c r="C24" s="1262"/>
      <c r="D24" s="1263"/>
      <c r="E24" s="1264"/>
      <c r="F24" s="1264"/>
      <c r="G24" s="1264"/>
      <c r="H24" s="1264"/>
      <c r="I24" s="1264"/>
      <c r="J24" s="1265"/>
      <c r="K24" s="1265"/>
      <c r="L24" s="1264"/>
    </row>
    <row r="25" spans="1:20" ht="13.5" customHeight="1">
      <c r="B25" s="1261" t="s">
        <v>694</v>
      </c>
      <c r="C25" s="1262"/>
      <c r="D25" s="1263"/>
      <c r="E25" s="1264"/>
      <c r="F25" s="1264"/>
      <c r="G25" s="1264"/>
      <c r="H25" s="1264"/>
      <c r="I25" s="1264"/>
      <c r="J25" s="1264"/>
      <c r="K25" s="1264"/>
      <c r="L25" s="1264"/>
    </row>
    <row r="26" spans="1:20" ht="13.5" customHeight="1">
      <c r="B26" s="1261"/>
      <c r="C26" s="1262"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263"/>
      <c r="E26" s="1264"/>
      <c r="F26" s="1264"/>
      <c r="G26" s="1264"/>
      <c r="H26" s="1264"/>
      <c r="I26" s="1264"/>
      <c r="J26" s="1264"/>
      <c r="K26" s="1264"/>
      <c r="L26" s="1264"/>
    </row>
    <row r="27" spans="1:20" ht="13.5" customHeight="1">
      <c r="B27" s="1261"/>
      <c r="C27" s="1262"/>
      <c r="D27" s="1266" t="s">
        <v>644</v>
      </c>
      <c r="E27" s="1264"/>
      <c r="F27" s="1264"/>
      <c r="G27" s="1264"/>
      <c r="H27" s="1264"/>
      <c r="I27" s="1264"/>
      <c r="J27" s="1264"/>
      <c r="K27" s="1264"/>
      <c r="L27" s="1264"/>
    </row>
    <row r="28" spans="1:20" ht="13.5" customHeight="1">
      <c r="B28" s="1261"/>
      <c r="C28" s="1262" t="s">
        <v>394</v>
      </c>
      <c r="D28" s="1263"/>
      <c r="E28" s="1264"/>
      <c r="F28" s="1264"/>
      <c r="G28" s="1264"/>
      <c r="H28" s="1264"/>
      <c r="I28" s="1264"/>
      <c r="J28" s="1267"/>
      <c r="K28" s="1264"/>
      <c r="L28" s="1264"/>
    </row>
    <row r="29" spans="1:20">
      <c r="B29" s="541"/>
      <c r="C29" s="411"/>
      <c r="D29" s="411"/>
    </row>
  </sheetData>
  <sheetProtection algorithmName="SHA-512" hashValue="WqyAG/hbyxngR+luW0zoSZ62Gh2H4toxtUNOIJeZRo9+UeT+yy58ZsmobGnQx3I90j+jGcXW2UO4IP/Q8Hh8jA==" saltValue="y9FLXALlys2N/dg31hRwCQ=="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0">
    <tabColor theme="6" tint="0.39997558519241921"/>
  </sheetPr>
  <dimension ref="A1: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1" spans="1:18">
      <c r="B1" s="1148"/>
      <c r="C1" s="1148"/>
      <c r="D1" s="1148"/>
      <c r="E1" s="1148"/>
      <c r="F1" s="1148"/>
      <c r="G1" s="1148"/>
      <c r="H1" s="1148"/>
      <c r="I1" s="1148"/>
    </row>
    <row r="2" spans="1:18" ht="20.399999999999999">
      <c r="B2" s="1789" t="str">
        <f>"SCHEDULE  OF  CAPITAL  LEASE  PROGRAM  OBLIGATIONS "&amp;UPPER('KEY INPUTS'!D52)&amp;"  UTILITY"</f>
        <v>SCHEDULE  OF  CAPITAL  LEASE  PROGRAM  OBLIGATIONS WATER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873"/>
      <c r="C4" s="1873"/>
      <c r="D4" s="1873"/>
      <c r="E4" s="1873"/>
      <c r="F4" s="1874"/>
      <c r="G4" s="1268"/>
      <c r="H4" s="1144"/>
      <c r="I4" s="1269"/>
    </row>
    <row r="5" spans="1:18" ht="13.5" customHeight="1">
      <c r="B5" s="1148"/>
      <c r="C5" s="1148"/>
      <c r="D5" s="1148"/>
      <c r="E5" s="1270"/>
      <c r="F5" s="1270"/>
      <c r="G5" s="1153" t="s">
        <v>533</v>
      </c>
      <c r="H5" s="1867" t="str">
        <f>'KEY INPUTS'!D34+1&amp;" Budget Requirements"</f>
        <v>2020 Budget Requirements</v>
      </c>
      <c r="I5" s="1880"/>
      <c r="J5" s="776"/>
    </row>
    <row r="6" spans="1:18" ht="13.5" customHeight="1">
      <c r="B6" s="1148"/>
      <c r="C6" s="1788" t="s">
        <v>532</v>
      </c>
      <c r="D6" s="1879"/>
      <c r="E6" s="1270"/>
      <c r="F6" s="1270"/>
      <c r="G6" s="1153" t="s">
        <v>549</v>
      </c>
      <c r="H6" s="1881"/>
      <c r="I6" s="1882"/>
      <c r="J6" s="776"/>
    </row>
    <row r="7" spans="1:18" ht="13.5" customHeight="1">
      <c r="B7" s="1148"/>
      <c r="C7" s="1148"/>
      <c r="D7" s="1148"/>
      <c r="E7" s="1270"/>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883"/>
      <c r="C9" s="1883"/>
      <c r="D9" s="1883"/>
      <c r="E9" s="1883"/>
      <c r="F9" s="1884"/>
      <c r="G9" s="629"/>
      <c r="H9" s="618"/>
      <c r="I9" s="630"/>
      <c r="L9" s="377"/>
      <c r="M9" s="322"/>
      <c r="N9" s="322"/>
      <c r="O9" s="322"/>
      <c r="P9" s="322"/>
      <c r="Q9" s="322"/>
      <c r="R9" s="322"/>
    </row>
    <row r="10" spans="1:18" ht="21" customHeight="1">
      <c r="B10" s="1877"/>
      <c r="C10" s="1877"/>
      <c r="D10" s="1877"/>
      <c r="E10" s="1877"/>
      <c r="F10" s="1878"/>
      <c r="G10" s="631"/>
      <c r="H10" s="601"/>
      <c r="I10" s="602"/>
      <c r="L10" s="322"/>
      <c r="M10" s="322"/>
      <c r="N10" s="322"/>
      <c r="O10" s="322"/>
      <c r="P10" s="322"/>
      <c r="Q10" s="322"/>
      <c r="R10" s="322"/>
    </row>
    <row r="11" spans="1:18" ht="21" customHeight="1">
      <c r="B11" s="1877"/>
      <c r="C11" s="1877"/>
      <c r="D11" s="1877"/>
      <c r="E11" s="1877"/>
      <c r="F11" s="1878"/>
      <c r="G11" s="631"/>
      <c r="H11" s="601"/>
      <c r="I11" s="602"/>
      <c r="L11" s="322"/>
      <c r="M11" s="322"/>
      <c r="N11" s="322"/>
      <c r="O11" s="322"/>
      <c r="P11" s="322"/>
      <c r="Q11" s="322"/>
      <c r="R11" s="322"/>
    </row>
    <row r="12" spans="1:18" ht="21" customHeight="1">
      <c r="B12" s="1877"/>
      <c r="C12" s="1877"/>
      <c r="D12" s="1877"/>
      <c r="E12" s="1877"/>
      <c r="F12" s="1878"/>
      <c r="G12" s="631"/>
      <c r="H12" s="601"/>
      <c r="I12" s="602"/>
      <c r="L12" s="322"/>
      <c r="M12" s="322"/>
      <c r="N12" s="322"/>
      <c r="O12" s="322"/>
      <c r="P12" s="322"/>
      <c r="Q12" s="322"/>
      <c r="R12" s="322"/>
    </row>
    <row r="13" spans="1:18" ht="21" customHeight="1">
      <c r="B13" s="1877"/>
      <c r="C13" s="1877"/>
      <c r="D13" s="1877"/>
      <c r="E13" s="1877"/>
      <c r="F13" s="1878"/>
      <c r="G13" s="631"/>
      <c r="H13" s="601"/>
      <c r="I13" s="602"/>
      <c r="L13" s="322"/>
      <c r="M13" s="322"/>
      <c r="N13" s="322"/>
      <c r="O13" s="322"/>
      <c r="P13" s="322"/>
      <c r="Q13" s="322"/>
      <c r="R13" s="322"/>
    </row>
    <row r="14" spans="1:18" ht="21" customHeight="1">
      <c r="B14" s="1877"/>
      <c r="C14" s="1877"/>
      <c r="D14" s="1877"/>
      <c r="E14" s="1877"/>
      <c r="F14" s="1878"/>
      <c r="G14" s="632"/>
      <c r="H14" s="601"/>
      <c r="I14" s="602"/>
      <c r="L14" s="322"/>
      <c r="M14" s="322"/>
      <c r="N14" s="322"/>
      <c r="O14" s="322"/>
      <c r="P14" s="322"/>
      <c r="Q14" s="322"/>
      <c r="R14" s="322"/>
    </row>
    <row r="15" spans="1:18" ht="21" customHeight="1">
      <c r="A15" s="1793" t="s">
        <v>3450</v>
      </c>
      <c r="B15" s="1877"/>
      <c r="C15" s="1877"/>
      <c r="D15" s="1877"/>
      <c r="E15" s="1877"/>
      <c r="F15" s="1878"/>
      <c r="G15" s="631"/>
      <c r="H15" s="601"/>
      <c r="I15" s="602"/>
      <c r="L15" s="322"/>
      <c r="M15" s="322"/>
      <c r="N15" s="322"/>
      <c r="O15" s="322"/>
      <c r="P15" s="322"/>
      <c r="Q15" s="322"/>
      <c r="R15" s="322"/>
    </row>
    <row r="16" spans="1:18" ht="21" customHeight="1">
      <c r="A16" s="1793"/>
      <c r="B16" s="1877"/>
      <c r="C16" s="1877"/>
      <c r="D16" s="1877"/>
      <c r="E16" s="1877"/>
      <c r="F16" s="1878"/>
      <c r="G16" s="631"/>
      <c r="H16" s="601"/>
      <c r="I16" s="602"/>
      <c r="L16" s="322"/>
      <c r="M16" s="322"/>
      <c r="N16" s="322"/>
      <c r="O16" s="322"/>
      <c r="P16" s="322"/>
      <c r="Q16" s="322"/>
      <c r="R16" s="322"/>
    </row>
    <row r="17" spans="1:18" ht="21" customHeight="1">
      <c r="A17" s="1793"/>
      <c r="B17" s="1877"/>
      <c r="C17" s="1877"/>
      <c r="D17" s="1877"/>
      <c r="E17" s="1877"/>
      <c r="F17" s="1878"/>
      <c r="G17" s="631"/>
      <c r="H17" s="601"/>
      <c r="I17" s="602"/>
      <c r="L17" s="322"/>
      <c r="M17" s="322"/>
      <c r="N17" s="322"/>
      <c r="O17" s="322"/>
      <c r="P17" s="322"/>
      <c r="Q17" s="322"/>
      <c r="R17" s="322"/>
    </row>
    <row r="18" spans="1:18" ht="21" customHeight="1">
      <c r="A18" s="545"/>
      <c r="B18" s="1877"/>
      <c r="C18" s="1877"/>
      <c r="D18" s="1877"/>
      <c r="E18" s="1877"/>
      <c r="F18" s="1878"/>
      <c r="G18" s="631"/>
      <c r="H18" s="601"/>
      <c r="I18" s="602"/>
      <c r="L18" s="322"/>
      <c r="M18" s="322"/>
      <c r="N18" s="322"/>
      <c r="O18" s="322"/>
      <c r="P18" s="322"/>
      <c r="Q18" s="322"/>
      <c r="R18" s="322"/>
    </row>
    <row r="19" spans="1:18" ht="21" customHeight="1">
      <c r="B19" s="1877"/>
      <c r="C19" s="1877"/>
      <c r="D19" s="1877"/>
      <c r="E19" s="1877"/>
      <c r="F19" s="1878"/>
      <c r="G19" s="631"/>
      <c r="H19" s="601"/>
      <c r="I19" s="602"/>
      <c r="L19" s="322"/>
      <c r="M19" s="322"/>
      <c r="N19" s="322"/>
      <c r="O19" s="322"/>
      <c r="P19" s="322"/>
      <c r="Q19" s="322"/>
      <c r="R19" s="322"/>
    </row>
    <row r="20" spans="1:18" ht="21" customHeight="1">
      <c r="B20" s="1877"/>
      <c r="C20" s="1877"/>
      <c r="D20" s="1877"/>
      <c r="E20" s="1877"/>
      <c r="F20" s="1878"/>
      <c r="G20" s="631"/>
      <c r="H20" s="601"/>
      <c r="I20" s="602"/>
      <c r="L20" s="322"/>
      <c r="M20" s="322"/>
      <c r="N20" s="322"/>
      <c r="O20" s="322"/>
      <c r="P20" s="322"/>
      <c r="Q20" s="322"/>
      <c r="R20" s="322"/>
    </row>
    <row r="21" spans="1:18" ht="21" customHeight="1">
      <c r="B21" s="1877"/>
      <c r="C21" s="1877"/>
      <c r="D21" s="1877"/>
      <c r="E21" s="1877"/>
      <c r="F21" s="1878"/>
      <c r="G21" s="631"/>
      <c r="H21" s="601"/>
      <c r="I21" s="602"/>
      <c r="L21" s="322"/>
      <c r="M21" s="322"/>
      <c r="N21" s="322"/>
      <c r="O21" s="322"/>
      <c r="P21" s="322"/>
      <c r="Q21" s="322"/>
      <c r="R21" s="322"/>
    </row>
    <row r="22" spans="1:18" ht="21" customHeight="1" thickBot="1">
      <c r="B22" s="1877"/>
      <c r="C22" s="1877"/>
      <c r="D22" s="1877"/>
      <c r="E22" s="1877"/>
      <c r="F22" s="1878"/>
      <c r="G22" s="633"/>
      <c r="H22" s="627"/>
      <c r="I22" s="634"/>
      <c r="L22" s="322"/>
      <c r="M22" s="322"/>
      <c r="N22" s="322"/>
      <c r="O22" s="322"/>
      <c r="P22" s="322"/>
      <c r="Q22" s="322"/>
      <c r="R22" s="322"/>
    </row>
    <row r="23" spans="1:18" ht="21" customHeight="1" thickTop="1" thickBot="1">
      <c r="B23" s="544"/>
      <c r="C23" s="413"/>
      <c r="D23" s="551" t="s">
        <v>174</v>
      </c>
      <c r="E23" s="123"/>
      <c r="F23" s="550"/>
      <c r="G23" s="245">
        <f>SUM(G9:G22)</f>
        <v>0</v>
      </c>
      <c r="H23" s="137">
        <f>SUM(H9:H22)</f>
        <v>0</v>
      </c>
      <c r="I23" s="157">
        <f>SUM(I9:I22)</f>
        <v>0</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1">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8"/>
      <c r="C1" s="1148"/>
      <c r="D1" s="1148"/>
      <c r="E1" s="1148"/>
      <c r="F1" s="1148"/>
      <c r="G1" s="1148"/>
      <c r="H1" s="1148"/>
      <c r="I1" s="1148"/>
      <c r="J1" s="1148"/>
      <c r="K1" s="1148"/>
      <c r="L1" s="1148"/>
    </row>
    <row r="2" spans="2:21" ht="20.399999999999999">
      <c r="B2" s="1789" t="str">
        <f>"SCHEDULE  OF  IMPROVEMENT  AUTHORIZATIONS  "&amp;UPPER('KEY INPUTS'!D52)&amp;"  (UTILITY  CAPITAL  FUND)"</f>
        <v>SCHEDULE  OF  IMPROVEMENT  AUTHORIZATIONS  WATER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85" t="str">
        <f>'KEY INPUTS'!D25</f>
        <v>Balance - January 1, 2019</v>
      </c>
      <c r="F4" s="1886"/>
      <c r="G4" s="1145"/>
      <c r="H4" s="1145"/>
      <c r="I4" s="1145"/>
      <c r="J4" s="1145"/>
      <c r="K4" s="1891" t="str">
        <f>'KEY INPUTS'!D26</f>
        <v>Balance - December 31, 2019</v>
      </c>
      <c r="L4" s="1892"/>
    </row>
    <row r="5" spans="2:21" ht="13.5" customHeight="1">
      <c r="B5" s="1788" t="s">
        <v>656</v>
      </c>
      <c r="C5" s="1788"/>
      <c r="D5" s="1872"/>
      <c r="E5" s="1887"/>
      <c r="F5" s="1888"/>
      <c r="G5" s="1153"/>
      <c r="H5" s="1153"/>
      <c r="I5" s="1153"/>
      <c r="J5" s="1153"/>
      <c r="K5" s="1893"/>
      <c r="L5" s="1894"/>
    </row>
    <row r="6" spans="2:21" ht="13.5" customHeight="1">
      <c r="B6" s="1788" t="s">
        <v>657</v>
      </c>
      <c r="C6" s="1788"/>
      <c r="D6" s="1872"/>
      <c r="E6" s="1889"/>
      <c r="F6" s="1890"/>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3546</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2">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8"/>
      <c r="C1" s="1148"/>
      <c r="D1" s="1148"/>
      <c r="E1" s="1148"/>
      <c r="F1" s="1148"/>
      <c r="G1" s="1148"/>
      <c r="H1" s="1148"/>
      <c r="I1" s="1148"/>
      <c r="J1" s="1148"/>
      <c r="K1" s="1148"/>
      <c r="L1" s="1148"/>
    </row>
    <row r="2" spans="2:21" ht="20.399999999999999">
      <c r="B2" s="1789" t="str">
        <f>"SCHEDULE  OF  IMPROVEMENT  AUTHORIZATIONS  " &amp;UPPER('KEY INPUTS'!D52)&amp;"  (UTILITY  CAPITAL  FUND)"</f>
        <v>SCHEDULE  OF  IMPROVEMENT  AUTHORIZATIONS  WATER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85" t="str">
        <f>'KEY INPUTS'!D25</f>
        <v>Balance - January 1, 2019</v>
      </c>
      <c r="F4" s="1886"/>
      <c r="G4" s="1145"/>
      <c r="H4" s="1145"/>
      <c r="I4" s="1145"/>
      <c r="J4" s="1145"/>
      <c r="K4" s="1891" t="str">
        <f>'KEY INPUTS'!D26</f>
        <v>Balance - December 31, 2019</v>
      </c>
      <c r="L4" s="1892"/>
    </row>
    <row r="5" spans="2:21" ht="13.5" customHeight="1">
      <c r="B5" s="1788" t="s">
        <v>656</v>
      </c>
      <c r="C5" s="1788"/>
      <c r="D5" s="1872"/>
      <c r="E5" s="1887"/>
      <c r="F5" s="1888"/>
      <c r="G5" s="1153"/>
      <c r="H5" s="1153"/>
      <c r="I5" s="1153"/>
      <c r="J5" s="1153"/>
      <c r="K5" s="1893"/>
      <c r="L5" s="1894"/>
    </row>
    <row r="6" spans="2:21" ht="13.5" customHeight="1">
      <c r="B6" s="1788" t="s">
        <v>657</v>
      </c>
      <c r="C6" s="1788"/>
      <c r="D6" s="1872"/>
      <c r="E6" s="1889"/>
      <c r="F6" s="1890"/>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+'52-Utility1'!E27</f>
        <v>0</v>
      </c>
      <c r="F9" s="1279">
        <f>+'52-Utility1'!F27</f>
        <v>0</v>
      </c>
      <c r="G9" s="1279">
        <f>+'52-Utility1'!G27</f>
        <v>0</v>
      </c>
      <c r="H9" s="1279">
        <f>+'52-Utility1'!H27</f>
        <v>0</v>
      </c>
      <c r="I9" s="1279">
        <f>+'52-Utility1'!I27</f>
        <v>0</v>
      </c>
      <c r="J9" s="1279">
        <f>+'52-Utility1'!J27</f>
        <v>0</v>
      </c>
      <c r="K9" s="1279">
        <f>+'52-Utility1'!K27</f>
        <v>0</v>
      </c>
      <c r="L9" s="1283">
        <f>+'52-Utility1'!L27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3546</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3">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INPUTS'!D52)&amp;"  (UTILITY  CAPITAL  FUND)"</f>
        <v>SCHEDULE  OF  IMPROVEMENT  AUTHORIZATIONS  WATER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+'52.1-Utility1'!E27</f>
        <v>0</v>
      </c>
      <c r="F9" s="1279">
        <f>+'52.1-Utility1'!F27</f>
        <v>0</v>
      </c>
      <c r="G9" s="1279">
        <f>+'52.1-Utility1'!G27</f>
        <v>0</v>
      </c>
      <c r="H9" s="1279">
        <f>+'52.1-Utility1'!H27</f>
        <v>0</v>
      </c>
      <c r="I9" s="1279">
        <f>+'52.1-Utility1'!I27</f>
        <v>0</v>
      </c>
      <c r="J9" s="1279">
        <f>+'52.1-Utility1'!J27</f>
        <v>0</v>
      </c>
      <c r="K9" s="1279">
        <f>+'52.1-Utility1'!K27</f>
        <v>0</v>
      </c>
      <c r="L9" s="1283">
        <f>+'52.1-Utility1'!L27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3546</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4">
    <tabColor theme="6"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INPUTS'!D52)&amp;"  (UTILITY  CAPITAL  FUND)"</f>
        <v>SCHEDULE  OF  IMPROVEMENT  AUTHORIZATIONS  WATER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+'52.2-Utility1'!E27</f>
        <v>0</v>
      </c>
      <c r="F9" s="1279">
        <f>+'52.2-Utility1'!F27</f>
        <v>0</v>
      </c>
      <c r="G9" s="1279">
        <f>+'52.2-Utility1'!G27</f>
        <v>0</v>
      </c>
      <c r="H9" s="1279">
        <f>+'52.2-Utility1'!H27</f>
        <v>0</v>
      </c>
      <c r="I9" s="1279">
        <f>+'52.2-Utility1'!I27</f>
        <v>0</v>
      </c>
      <c r="J9" s="1279">
        <f>+'52.2-Utility1'!J27</f>
        <v>0</v>
      </c>
      <c r="K9" s="1279">
        <f>+'52.2-Utility1'!K27</f>
        <v>0</v>
      </c>
      <c r="L9" s="1283">
        <f>+'52.2-Utility1'!L27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3546</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5">
    <tabColor theme="6" tint="0.39997558519241921"/>
  </sheetPr>
  <dimension ref="A1:U42"/>
  <sheetViews>
    <sheetView topLeftCell="A7" zoomScaleNormal="100" zoomScaleSheetLayoutView="80" workbookViewId="0">
      <selection activeCell="H28" sqref="H28"/>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c r="B1" s="1148"/>
      <c r="C1" s="1148"/>
      <c r="D1" s="1148"/>
      <c r="E1" s="1148"/>
      <c r="F1" s="1148"/>
      <c r="G1" s="1148"/>
      <c r="H1" s="1148"/>
      <c r="I1" s="1148"/>
      <c r="J1" s="1148"/>
      <c r="K1" s="1148"/>
      <c r="L1" s="1148"/>
    </row>
    <row r="2" spans="2:21" ht="20.399999999999999">
      <c r="B2" s="1789" t="str">
        <f>"SCHEDULE  OF  IMPROVEMENT  AUTHORIZATIONS  " &amp;UPPER('KEY INPUTS'!D52)&amp;"  (UTILITY  CAPITAL  FUND)"</f>
        <v>SCHEDULE  OF  IMPROVEMENT  AUTHORIZATIONS  WATER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+'52.3-Utility1'!E27</f>
        <v>0</v>
      </c>
      <c r="F9" s="1279">
        <f>+'52.3-Utility1'!F27</f>
        <v>0</v>
      </c>
      <c r="G9" s="1279">
        <f>+'52.3-Utility1'!G27</f>
        <v>0</v>
      </c>
      <c r="H9" s="1279">
        <f>+'52.3-Utility1'!H27</f>
        <v>0</v>
      </c>
      <c r="I9" s="1279">
        <f>+'52.3-Utility1'!I27</f>
        <v>0</v>
      </c>
      <c r="J9" s="1279">
        <f>+'52.3-Utility1'!J27</f>
        <v>0</v>
      </c>
      <c r="K9" s="1279">
        <f>+'52.3-Utility1'!K27</f>
        <v>0</v>
      </c>
      <c r="L9" s="1283">
        <f>+'52.3-Utility1'!L27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t="s">
        <v>3944</v>
      </c>
      <c r="C11" s="704" t="s">
        <v>3935</v>
      </c>
      <c r="D11" s="652"/>
      <c r="E11" s="601"/>
      <c r="F11" s="601">
        <v>686379.35</v>
      </c>
      <c r="G11" s="601"/>
      <c r="H11" s="601"/>
      <c r="I11" s="601">
        <v>-6856.7900000000009</v>
      </c>
      <c r="J11" s="601"/>
      <c r="K11" s="602">
        <f>+E11+F11+G11-I11-L11</f>
        <v>0</v>
      </c>
      <c r="L11" s="602">
        <f>+F11-I11</f>
        <v>693236.14</v>
      </c>
      <c r="O11" s="322"/>
      <c r="P11" s="322"/>
      <c r="Q11" s="322"/>
      <c r="R11" s="322"/>
      <c r="S11" s="322"/>
      <c r="T11" s="322"/>
      <c r="U11" s="322"/>
    </row>
    <row r="12" spans="2:21" ht="21" customHeight="1">
      <c r="B12" s="705" t="s">
        <v>3945</v>
      </c>
      <c r="C12" s="704" t="s">
        <v>3936</v>
      </c>
      <c r="D12" s="652"/>
      <c r="E12" s="601">
        <v>34234.410000000003</v>
      </c>
      <c r="F12" s="601"/>
      <c r="G12" s="601"/>
      <c r="H12" s="601"/>
      <c r="I12" s="374">
        <v>0</v>
      </c>
      <c r="J12" s="601"/>
      <c r="K12" s="602">
        <f t="shared" ref="K12:K19" si="0">+E12+F12+G12-I12-L12</f>
        <v>34234.410000000003</v>
      </c>
      <c r="L12" s="602"/>
      <c r="O12" s="322"/>
      <c r="P12" s="322"/>
      <c r="Q12" s="322"/>
      <c r="R12" s="322"/>
      <c r="S12" s="322"/>
      <c r="T12" s="322"/>
      <c r="U12" s="322"/>
    </row>
    <row r="13" spans="2:21" ht="21" customHeight="1">
      <c r="B13" s="705" t="s">
        <v>3946</v>
      </c>
      <c r="C13" s="704" t="s">
        <v>3937</v>
      </c>
      <c r="D13" s="652"/>
      <c r="E13" s="601">
        <v>23994.640000000014</v>
      </c>
      <c r="F13" s="601"/>
      <c r="G13" s="601"/>
      <c r="H13" s="601"/>
      <c r="I13" s="575">
        <v>0</v>
      </c>
      <c r="J13" s="601"/>
      <c r="K13" s="602">
        <f t="shared" si="0"/>
        <v>23994.640000000014</v>
      </c>
      <c r="L13" s="701"/>
      <c r="O13" s="322"/>
      <c r="P13" s="322"/>
      <c r="Q13" s="322"/>
      <c r="R13" s="322"/>
      <c r="S13" s="322"/>
      <c r="T13" s="322"/>
      <c r="U13" s="322"/>
    </row>
    <row r="14" spans="2:21" ht="21" customHeight="1">
      <c r="B14" s="703" t="s">
        <v>3947</v>
      </c>
      <c r="C14" s="704" t="s">
        <v>3938</v>
      </c>
      <c r="D14" s="652"/>
      <c r="E14" s="601"/>
      <c r="F14" s="601">
        <v>2554.25</v>
      </c>
      <c r="G14" s="601"/>
      <c r="H14" s="601"/>
      <c r="I14" s="601">
        <v>0</v>
      </c>
      <c r="J14" s="601"/>
      <c r="K14" s="602">
        <f t="shared" si="0"/>
        <v>0</v>
      </c>
      <c r="L14" s="602">
        <f>+F14</f>
        <v>2554.25</v>
      </c>
      <c r="O14" s="322"/>
      <c r="P14" s="322"/>
      <c r="Q14" s="322"/>
      <c r="R14" s="322"/>
      <c r="S14" s="322"/>
      <c r="T14" s="322"/>
      <c r="U14" s="322"/>
    </row>
    <row r="15" spans="2:21" ht="21" customHeight="1">
      <c r="B15" s="706" t="s">
        <v>3948</v>
      </c>
      <c r="C15" s="648" t="s">
        <v>3939</v>
      </c>
      <c r="D15" s="652"/>
      <c r="E15" s="601"/>
      <c r="F15" s="601">
        <v>662972.30000000005</v>
      </c>
      <c r="G15" s="601"/>
      <c r="H15" s="601"/>
      <c r="I15" s="601">
        <v>137351.66000000003</v>
      </c>
      <c r="J15" s="601"/>
      <c r="K15" s="602">
        <f t="shared" si="0"/>
        <v>0</v>
      </c>
      <c r="L15" s="602">
        <f>+F15-I15</f>
        <v>525620.64</v>
      </c>
      <c r="O15" s="322"/>
      <c r="P15" s="322"/>
      <c r="Q15" s="322"/>
      <c r="R15" s="322"/>
      <c r="S15" s="322"/>
      <c r="T15" s="322"/>
      <c r="U15" s="322"/>
    </row>
    <row r="16" spans="2:21" ht="21" customHeight="1">
      <c r="B16" s="706" t="s">
        <v>3949</v>
      </c>
      <c r="C16" s="648" t="s">
        <v>3940</v>
      </c>
      <c r="D16" s="652"/>
      <c r="E16" s="604">
        <v>138057.76</v>
      </c>
      <c r="F16" s="604">
        <v>400000</v>
      </c>
      <c r="G16" s="604"/>
      <c r="H16" s="604"/>
      <c r="I16" s="604">
        <v>-106893.84999999986</v>
      </c>
      <c r="J16" s="604"/>
      <c r="K16" s="602">
        <f t="shared" si="0"/>
        <v>244951.60999999987</v>
      </c>
      <c r="L16" s="602">
        <f>+F16</f>
        <v>400000</v>
      </c>
      <c r="O16" s="322"/>
      <c r="P16" s="322"/>
      <c r="Q16" s="322"/>
      <c r="R16" s="322"/>
      <c r="S16" s="322"/>
      <c r="T16" s="322"/>
      <c r="U16" s="322"/>
    </row>
    <row r="17" spans="1:21" ht="21" customHeight="1">
      <c r="A17" s="1793" t="s">
        <v>3656</v>
      </c>
      <c r="B17" s="706" t="s">
        <v>3950</v>
      </c>
      <c r="C17" s="648" t="s">
        <v>3859</v>
      </c>
      <c r="D17" s="652"/>
      <c r="E17" s="601"/>
      <c r="F17" s="601">
        <v>63744.52</v>
      </c>
      <c r="G17" s="601"/>
      <c r="H17" s="601"/>
      <c r="I17" s="601">
        <v>17361.399999999994</v>
      </c>
      <c r="J17" s="601"/>
      <c r="K17" s="602">
        <f t="shared" si="0"/>
        <v>0</v>
      </c>
      <c r="L17" s="602">
        <f>+F17-I17</f>
        <v>46383.12</v>
      </c>
      <c r="O17" s="322"/>
      <c r="P17" s="322"/>
      <c r="Q17" s="322"/>
      <c r="R17" s="322"/>
      <c r="S17" s="322"/>
      <c r="T17" s="322"/>
      <c r="U17" s="322"/>
    </row>
    <row r="18" spans="1:21" ht="21" customHeight="1">
      <c r="A18" s="1793"/>
      <c r="B18" s="706" t="s">
        <v>3951</v>
      </c>
      <c r="C18" s="648" t="s">
        <v>3941</v>
      </c>
      <c r="D18" s="652"/>
      <c r="E18" s="601">
        <v>134151.25</v>
      </c>
      <c r="F18" s="601"/>
      <c r="G18" s="601"/>
      <c r="H18" s="601"/>
      <c r="I18" s="601">
        <v>87435.51</v>
      </c>
      <c r="J18" s="601"/>
      <c r="K18" s="602">
        <f t="shared" si="0"/>
        <v>46715.740000000005</v>
      </c>
      <c r="L18" s="602"/>
      <c r="O18" s="322"/>
      <c r="P18" s="322"/>
      <c r="Q18" s="322"/>
      <c r="R18" s="322"/>
      <c r="S18" s="322"/>
      <c r="T18" s="322"/>
      <c r="U18" s="322"/>
    </row>
    <row r="19" spans="1:21" ht="21" customHeight="1">
      <c r="A19" s="1793"/>
      <c r="B19" s="706" t="s">
        <v>3952</v>
      </c>
      <c r="C19" s="648" t="s">
        <v>3942</v>
      </c>
      <c r="D19" s="652"/>
      <c r="E19" s="601">
        <v>648156.25</v>
      </c>
      <c r="F19" s="601"/>
      <c r="G19" s="601">
        <v>110000</v>
      </c>
      <c r="H19" s="601"/>
      <c r="I19" s="601">
        <v>700399.09</v>
      </c>
      <c r="J19" s="601"/>
      <c r="K19" s="602">
        <f t="shared" si="0"/>
        <v>0</v>
      </c>
      <c r="L19" s="602">
        <f>+E19+G19-I19</f>
        <v>57757.160000000033</v>
      </c>
      <c r="O19" s="322"/>
      <c r="P19" s="322"/>
      <c r="Q19" s="322"/>
      <c r="R19" s="322"/>
      <c r="S19" s="322"/>
      <c r="T19" s="322"/>
      <c r="U19" s="322"/>
    </row>
    <row r="20" spans="1:21" ht="21" customHeight="1">
      <c r="A20" s="545"/>
      <c r="B20" s="706" t="s">
        <v>3953</v>
      </c>
      <c r="C20" s="648" t="s">
        <v>3943</v>
      </c>
      <c r="D20" s="652"/>
      <c r="E20" s="601"/>
      <c r="F20" s="601"/>
      <c r="G20" s="601">
        <v>1300000</v>
      </c>
      <c r="H20" s="601"/>
      <c r="I20" s="601">
        <v>1107489.56</v>
      </c>
      <c r="J20" s="601"/>
      <c r="K20" s="602"/>
      <c r="L20" s="602">
        <f>+G20-I20</f>
        <v>192510.43999999994</v>
      </c>
      <c r="O20" s="322"/>
      <c r="P20" s="322"/>
      <c r="Q20" s="322"/>
      <c r="R20" s="322"/>
      <c r="S20" s="322"/>
      <c r="T20" s="322"/>
      <c r="U20" s="322"/>
    </row>
    <row r="21" spans="1:21" ht="21" customHeight="1">
      <c r="A21" s="545"/>
      <c r="B21" s="706" t="s">
        <v>3954</v>
      </c>
      <c r="C21" s="648" t="s">
        <v>3878</v>
      </c>
      <c r="D21" s="652"/>
      <c r="E21" s="601"/>
      <c r="F21" s="601"/>
      <c r="G21" s="601">
        <v>240000</v>
      </c>
      <c r="H21" s="601"/>
      <c r="I21" s="601">
        <v>28370</v>
      </c>
      <c r="J21" s="601"/>
      <c r="K21" s="602"/>
      <c r="L21" s="602">
        <f>+G21-I21</f>
        <v>211630</v>
      </c>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1001</v>
      </c>
      <c r="E27" s="137">
        <f t="shared" ref="E27:L27" si="1">SUM(E9:E26)</f>
        <v>978594.31</v>
      </c>
      <c r="F27" s="137">
        <f t="shared" si="1"/>
        <v>1815650.42</v>
      </c>
      <c r="G27" s="137">
        <f t="shared" si="1"/>
        <v>1650000</v>
      </c>
      <c r="H27" s="137">
        <f t="shared" si="1"/>
        <v>0</v>
      </c>
      <c r="I27" s="137">
        <f t="shared" si="1"/>
        <v>1964656.58</v>
      </c>
      <c r="J27" s="137">
        <f t="shared" si="1"/>
        <v>0</v>
      </c>
      <c r="K27" s="137">
        <f t="shared" si="1"/>
        <v>349896.39999999991</v>
      </c>
      <c r="L27" s="157">
        <f t="shared" si="1"/>
        <v>2129691.75</v>
      </c>
    </row>
    <row r="28" spans="1:21" ht="13.5" customHeight="1" thickTop="1">
      <c r="B28" s="549"/>
      <c r="C28" s="548" t="s">
        <v>663</v>
      </c>
      <c r="D28" s="547"/>
      <c r="E28" s="510"/>
      <c r="F28" s="510"/>
      <c r="G28" s="510"/>
      <c r="H28" s="510"/>
      <c r="I28" s="510"/>
      <c r="J28" s="510"/>
      <c r="K28" s="543"/>
      <c r="L28" s="543"/>
    </row>
    <row r="42" spans="11:12">
      <c r="K42" s="331" t="s">
        <v>3495</v>
      </c>
      <c r="L42" s="553">
        <f>K27+L27</f>
        <v>2479588.15</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6">
    <tabColor theme="6" tint="0.39997558519241921"/>
  </sheetPr>
  <dimension ref="B3:S54"/>
  <sheetViews>
    <sheetView topLeftCell="A22" zoomScaleNormal="100" zoomScaleSheetLayoutView="80" workbookViewId="0">
      <selection activeCell="T18" sqref="T18"/>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903" t="str">
        <f>UPPER('KEY INPUTS'!D52)&amp;" UTILITY  CAPITAL  FUND"</f>
        <v>WATER UTILITY  CAPITAL  FUND</v>
      </c>
      <c r="C3" s="1903"/>
      <c r="D3" s="1903"/>
      <c r="E3" s="1903"/>
      <c r="F3" s="1903"/>
      <c r="G3" s="1903"/>
      <c r="H3" s="1903"/>
      <c r="I3" s="1903"/>
      <c r="J3" s="1903"/>
    </row>
    <row r="4" spans="2:19">
      <c r="B4" s="777"/>
      <c r="C4" s="777"/>
      <c r="D4" s="777"/>
      <c r="E4" s="777"/>
    </row>
    <row r="5" spans="2:19" ht="15.6">
      <c r="B5" s="1904" t="s">
        <v>668</v>
      </c>
      <c r="C5" s="1904"/>
      <c r="D5" s="1904"/>
      <c r="E5" s="1904"/>
      <c r="F5" s="1904"/>
      <c r="G5" s="1904"/>
      <c r="H5" s="1904"/>
      <c r="I5" s="1904"/>
      <c r="J5" s="1904"/>
    </row>
    <row r="6" spans="2:19" ht="13.8"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90" t="s">
        <v>788</v>
      </c>
      <c r="J8" s="639">
        <v>957551.12</v>
      </c>
    </row>
    <row r="9" spans="2:19" ht="21" customHeight="1">
      <c r="B9" s="511" t="str">
        <f>"Received from "&amp;'KEY INPUTS'!D34&amp;" Budget Appropriation"</f>
        <v>Received from 2019 Budget Appropriation</v>
      </c>
      <c r="C9" s="334"/>
      <c r="D9" s="334"/>
      <c r="E9" s="334"/>
      <c r="F9" s="334"/>
      <c r="G9" s="334"/>
      <c r="H9" s="555"/>
      <c r="I9" s="975" t="s">
        <v>788</v>
      </c>
      <c r="J9" s="609">
        <v>200000</v>
      </c>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560" t="s">
        <v>224</v>
      </c>
      <c r="C11" s="559"/>
      <c r="D11" s="559"/>
      <c r="E11" s="559"/>
      <c r="F11" s="559"/>
      <c r="G11" s="559"/>
      <c r="H11" s="552"/>
      <c r="I11" s="1907" t="s">
        <v>788</v>
      </c>
      <c r="J11" s="1905"/>
      <c r="M11" s="377"/>
      <c r="N11" s="322"/>
      <c r="O11" s="322"/>
      <c r="P11" s="322"/>
      <c r="Q11" s="322"/>
      <c r="R11" s="322"/>
      <c r="S11" s="322"/>
    </row>
    <row r="12" spans="2:19" ht="12.75" customHeight="1">
      <c r="B12" s="479"/>
      <c r="C12" s="556" t="s">
        <v>225</v>
      </c>
      <c r="D12" s="479"/>
      <c r="E12" s="479"/>
      <c r="F12" s="479"/>
      <c r="G12" s="479"/>
      <c r="H12" s="55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334" t="s">
        <v>229</v>
      </c>
      <c r="C22" s="334"/>
      <c r="D22" s="334"/>
      <c r="E22" s="334"/>
      <c r="F22" s="334"/>
      <c r="G22" s="334"/>
      <c r="H22" s="555"/>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8">
        <f>+SUM(J8:J13)-SUM(I13:I23)</f>
        <v>1157551.1200000001</v>
      </c>
      <c r="J24" s="1106" t="s">
        <v>788</v>
      </c>
      <c r="M24" s="322"/>
      <c r="N24" s="322"/>
      <c r="O24" s="322"/>
      <c r="P24" s="322"/>
      <c r="Q24" s="322"/>
      <c r="R24" s="322"/>
      <c r="S24" s="322"/>
    </row>
    <row r="25" spans="2:19" ht="21" customHeight="1" thickTop="1" thickBot="1">
      <c r="I25" s="1063">
        <f>SUM(I8:I24)</f>
        <v>1157551.1200000001</v>
      </c>
      <c r="J25" s="1109">
        <f>SUM(J8:J24)</f>
        <v>1157551.1200000001</v>
      </c>
      <c r="M25" s="322"/>
      <c r="N25" s="322"/>
      <c r="O25" s="322"/>
      <c r="P25" s="322"/>
      <c r="Q25" s="322"/>
      <c r="R25" s="322"/>
      <c r="S25" s="322"/>
    </row>
    <row r="26" spans="2:19" ht="13.8" thickTop="1"/>
    <row r="30" spans="2:19" ht="22.8">
      <c r="B30" s="1903" t="str">
        <f>UPPER('KEY INPUTS'!D52)&amp;" UTILITY  CAPITAL  FUND"</f>
        <v>WATER UTILITY  CAPITAL  FUND</v>
      </c>
      <c r="C30" s="1903"/>
      <c r="D30" s="1903"/>
      <c r="E30" s="1903"/>
      <c r="F30" s="1903"/>
      <c r="G30" s="1903"/>
      <c r="H30" s="1903"/>
      <c r="I30" s="1903"/>
      <c r="J30" s="1903"/>
    </row>
    <row r="31" spans="2:19" ht="7.5" customHeight="1"/>
    <row r="32" spans="2:19" ht="15.6">
      <c r="B32" s="1904" t="s">
        <v>234</v>
      </c>
      <c r="C32" s="1904"/>
      <c r="D32" s="1904"/>
      <c r="E32" s="1904"/>
      <c r="F32" s="1904"/>
      <c r="G32" s="1904"/>
      <c r="H32" s="1904"/>
      <c r="I32" s="1904"/>
      <c r="J32" s="1904"/>
    </row>
    <row r="33" spans="2:10" ht="13.8"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90" t="s">
        <v>788</v>
      </c>
      <c r="J35" s="639"/>
    </row>
    <row r="36" spans="2:10" ht="21" customHeight="1">
      <c r="B36" s="511" t="str">
        <f>"Received from "&amp;TEXT('KEY INPUTS'!D34,"0")&amp;" Budget Appropriation *"</f>
        <v>Received from 2019 Budget Appropriation *</v>
      </c>
      <c r="C36" s="334"/>
      <c r="D36" s="334"/>
      <c r="E36" s="334"/>
      <c r="F36" s="334"/>
      <c r="G36" s="334"/>
      <c r="H36" s="555"/>
      <c r="I36" s="975" t="s">
        <v>788</v>
      </c>
      <c r="J36" s="609"/>
    </row>
    <row r="37" spans="2:10" ht="21" customHeight="1">
      <c r="B37" s="511" t="str">
        <f>"Received from "&amp;TEXT('KEY INPUTS'!D34,"0")&amp;" Emergency Appropriation *"</f>
        <v>Received from 2019 Emergency Appropriation *</v>
      </c>
      <c r="C37" s="334"/>
      <c r="D37" s="334"/>
      <c r="E37" s="334"/>
      <c r="F37" s="334"/>
      <c r="G37" s="334"/>
      <c r="H37" s="555"/>
      <c r="I37" s="975" t="s">
        <v>788</v>
      </c>
      <c r="J37" s="609"/>
    </row>
    <row r="38" spans="2:10" ht="21" customHeight="1">
      <c r="B38" s="669"/>
      <c r="C38" s="1284"/>
      <c r="D38" s="669"/>
      <c r="E38" s="479"/>
      <c r="F38" s="479"/>
      <c r="G38" s="479"/>
      <c r="H38" s="479"/>
      <c r="I38" s="684"/>
      <c r="J38" s="376"/>
    </row>
    <row r="39" spans="2:10" ht="21" customHeight="1">
      <c r="B39" s="334" t="s">
        <v>229</v>
      </c>
      <c r="C39" s="334"/>
      <c r="D39" s="334"/>
      <c r="E39" s="334"/>
      <c r="F39" s="334"/>
      <c r="G39" s="334"/>
      <c r="H39" s="555"/>
      <c r="I39" s="601"/>
      <c r="J39" s="979" t="s">
        <v>788</v>
      </c>
    </row>
    <row r="40" spans="2:10" ht="21" customHeight="1">
      <c r="B40" s="648"/>
      <c r="C40" s="648"/>
      <c r="D40" s="648"/>
      <c r="E40" s="334"/>
      <c r="F40" s="334"/>
      <c r="G40" s="334"/>
      <c r="H40" s="334"/>
      <c r="I40" s="601"/>
      <c r="J40" s="979" t="s">
        <v>788</v>
      </c>
    </row>
    <row r="41" spans="2:10" ht="21" customHeight="1" thickBot="1">
      <c r="B41" s="334" t="str">
        <f>'KEY INPUTS'!D26</f>
        <v>Balance - December 31, 2019</v>
      </c>
      <c r="C41" s="334"/>
      <c r="D41" s="334"/>
      <c r="E41" s="334"/>
      <c r="F41" s="334"/>
      <c r="G41" s="334"/>
      <c r="H41" s="555"/>
      <c r="I41" s="1285">
        <f>SUM(J35:J38)-SUM(I38:I40)</f>
        <v>0</v>
      </c>
      <c r="J41" s="1106" t="s">
        <v>788</v>
      </c>
    </row>
    <row r="42" spans="2:10" ht="21" customHeight="1" thickTop="1" thickBot="1">
      <c r="I42" s="1063">
        <f>SUM(I35:I41)</f>
        <v>0</v>
      </c>
      <c r="J42" s="1109">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KbC72KCo9zvH7W0F5wGg7u+RKIksPXBn4+lob4KZJVwYV3fr+FbQPLQkAMuHs/9Bv5YiCSgelvI6uQ08pRPOPw==" saltValue="l5zV4Ct27emT/9i8EeuG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7">
    <tabColor theme="6" tint="0.39997558519241921"/>
  </sheetPr>
  <dimension ref="B1:AC52"/>
  <sheetViews>
    <sheetView topLeftCell="A25" zoomScaleNormal="100" zoomScaleSheetLayoutView="80" workbookViewId="0">
      <selection activeCell="L18" sqref="L18"/>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customWidth="1"/>
    <col min="25" max="25" width="6.6640625" customWidth="1"/>
    <col min="26" max="29" width="16.6640625" customWidth="1"/>
    <col min="30" max="16384" width="8.88671875" style="398"/>
  </cols>
  <sheetData>
    <row r="1" spans="2:19">
      <c r="D1" s="470"/>
      <c r="E1" s="470"/>
    </row>
    <row r="2" spans="2:19">
      <c r="D2" s="470"/>
      <c r="E2" s="470"/>
    </row>
    <row r="3" spans="2:19" ht="24.6">
      <c r="B3" s="1909" t="str">
        <f>UPPER('KEY INPUTS'!D52)&amp;"  UTILITY  FUND"</f>
        <v>WATER  UTILITY  FUND</v>
      </c>
      <c r="C3" s="1909"/>
      <c r="D3" s="1909"/>
      <c r="E3" s="1909"/>
      <c r="F3" s="1909"/>
      <c r="G3" s="1909"/>
      <c r="H3" s="1909"/>
      <c r="I3" s="1909"/>
      <c r="J3" s="1909"/>
    </row>
    <row r="4" spans="2:19">
      <c r="B4" s="777"/>
      <c r="C4" s="777"/>
      <c r="D4" s="777"/>
      <c r="E4" s="777"/>
    </row>
    <row r="5" spans="2:19" ht="17.399999999999999">
      <c r="B5" s="1910" t="str">
        <f>"CAPITAL  IMPROVEMENTS  AUTHORIZED  IN "&amp;TEXT('KEY INPUTS'!D34,"0")&amp;""</f>
        <v>CAPITAL  IMPROVEMENTS  AUTHORIZED  IN 2019</v>
      </c>
      <c r="C5" s="1910"/>
      <c r="D5" s="1910"/>
      <c r="E5" s="1910"/>
      <c r="F5" s="1910"/>
      <c r="G5" s="1910"/>
      <c r="H5" s="1910"/>
      <c r="I5" s="1910"/>
      <c r="J5" s="1910"/>
    </row>
    <row r="6" spans="2:19" ht="17.399999999999999">
      <c r="B6" s="1910" t="s">
        <v>261</v>
      </c>
      <c r="C6" s="1910"/>
      <c r="D6" s="1910"/>
      <c r="E6" s="1910"/>
      <c r="F6" s="1910"/>
      <c r="G6" s="1910"/>
      <c r="H6" s="1910"/>
      <c r="I6" s="1910"/>
      <c r="J6" s="1910"/>
    </row>
    <row r="7" spans="2:19" ht="13.8" thickBot="1"/>
    <row r="8" spans="2:19" ht="13.8" thickTop="1">
      <c r="B8" s="540"/>
      <c r="C8" s="540"/>
      <c r="D8" s="540"/>
      <c r="E8" s="540"/>
      <c r="F8" s="540"/>
      <c r="G8" s="461"/>
      <c r="H8" s="461"/>
      <c r="I8" s="461"/>
      <c r="J8" s="460" t="s">
        <v>307</v>
      </c>
    </row>
    <row r="9" spans="2:19">
      <c r="C9" s="1765" t="s">
        <v>532</v>
      </c>
      <c r="D9" s="1765"/>
      <c r="E9" s="1765"/>
      <c r="G9" s="539" t="s">
        <v>533</v>
      </c>
      <c r="H9" s="539" t="s">
        <v>260</v>
      </c>
      <c r="I9" s="539" t="s">
        <v>265</v>
      </c>
      <c r="J9" s="400" t="s">
        <v>308</v>
      </c>
    </row>
    <row r="10" spans="2:19">
      <c r="G10" s="539" t="s">
        <v>263</v>
      </c>
      <c r="H10" s="539" t="s">
        <v>264</v>
      </c>
      <c r="I10" s="539" t="s">
        <v>266</v>
      </c>
      <c r="J10" s="565" t="str">
        <f>"of " &amp;TEXT('KEY INPUTS'!D34,"0")&amp;" or Prior"</f>
        <v>of 2019 or Prior</v>
      </c>
    </row>
    <row r="11" spans="2:19" ht="13.8" thickBot="1">
      <c r="B11" s="466"/>
      <c r="C11" s="466"/>
      <c r="D11" s="466"/>
      <c r="E11" s="466"/>
      <c r="F11" s="466"/>
      <c r="G11" s="538"/>
      <c r="H11" s="538" t="s">
        <v>560</v>
      </c>
      <c r="I11" s="538" t="s">
        <v>306</v>
      </c>
      <c r="J11" s="564" t="s">
        <v>309</v>
      </c>
      <c r="M11" s="322"/>
      <c r="N11" s="322"/>
      <c r="O11" s="322"/>
      <c r="P11" s="322"/>
      <c r="Q11" s="322"/>
      <c r="R11" s="322"/>
      <c r="S11" s="322"/>
    </row>
    <row r="12" spans="2:19" ht="21" customHeight="1" thickTop="1" thickBot="1">
      <c r="B12" s="674" t="s">
        <v>3932</v>
      </c>
      <c r="C12" s="674"/>
      <c r="D12" s="674"/>
      <c r="E12" s="674"/>
      <c r="F12" s="674"/>
      <c r="G12" s="605">
        <f>+H12+I12+J12</f>
        <v>110000</v>
      </c>
      <c r="H12" s="605">
        <v>110000</v>
      </c>
      <c r="I12" s="605"/>
      <c r="J12" s="639"/>
      <c r="M12" s="322"/>
      <c r="N12" s="322"/>
      <c r="O12" s="322"/>
      <c r="P12" s="322"/>
      <c r="Q12" s="322"/>
      <c r="R12" s="322"/>
      <c r="S12" s="322"/>
    </row>
    <row r="13" spans="2:19" ht="21" customHeight="1" thickTop="1" thickBot="1">
      <c r="B13" s="648" t="s">
        <v>3933</v>
      </c>
      <c r="C13" s="648"/>
      <c r="D13" s="648"/>
      <c r="E13" s="648"/>
      <c r="F13" s="648"/>
      <c r="G13" s="605">
        <f t="shared" ref="G13:G14" si="0">+H13+I13+J13</f>
        <v>1300000</v>
      </c>
      <c r="H13" s="601">
        <v>1300000</v>
      </c>
      <c r="I13" s="601"/>
      <c r="J13" s="609"/>
      <c r="M13" s="377"/>
      <c r="N13" s="322"/>
      <c r="O13" s="322"/>
      <c r="P13" s="322"/>
      <c r="Q13" s="322"/>
      <c r="R13" s="322"/>
      <c r="S13" s="322"/>
    </row>
    <row r="14" spans="2:19" ht="21" customHeight="1" thickTop="1">
      <c r="B14" s="648" t="s">
        <v>3934</v>
      </c>
      <c r="C14" s="648"/>
      <c r="D14" s="648"/>
      <c r="E14" s="648"/>
      <c r="F14" s="648"/>
      <c r="G14" s="605">
        <f t="shared" si="0"/>
        <v>240000</v>
      </c>
      <c r="H14" s="601">
        <v>240000</v>
      </c>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466"/>
      <c r="C22" s="466"/>
      <c r="D22" s="466"/>
      <c r="E22" s="466"/>
      <c r="F22" s="466"/>
      <c r="G22" s="401">
        <f>SUM(G12:G21)</f>
        <v>1650000</v>
      </c>
      <c r="H22" s="401">
        <f>SUM(H12:H21)</f>
        <v>1650000</v>
      </c>
      <c r="I22" s="401">
        <f>SUM(I12:I21)</f>
        <v>0</v>
      </c>
      <c r="J22" s="563">
        <f>SUM(J12:J21)</f>
        <v>0</v>
      </c>
      <c r="M22" s="322"/>
      <c r="N22" s="322"/>
      <c r="O22" s="322"/>
      <c r="P22" s="322"/>
      <c r="Q22" s="322"/>
      <c r="R22" s="322"/>
      <c r="S22" s="322"/>
    </row>
    <row r="23" spans="2:19" ht="13.8"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8">
      <c r="B28" s="1760" t="str">
        <f>UPPER('KEY INPUTS'!D52)&amp;" UTILITY  CAPITAL  FUND"</f>
        <v>WATER UTILITY  CAPITAL  FUND</v>
      </c>
      <c r="C28" s="1760"/>
      <c r="D28" s="1760"/>
      <c r="E28" s="1760"/>
      <c r="F28" s="1760"/>
      <c r="G28" s="1760"/>
      <c r="H28" s="1760"/>
      <c r="I28" s="1760"/>
      <c r="J28" s="1760"/>
    </row>
    <row r="29" spans="2:19" ht="22.8">
      <c r="B29" s="1771" t="s">
        <v>193</v>
      </c>
      <c r="C29" s="1771"/>
      <c r="D29" s="1771"/>
      <c r="E29" s="1771"/>
      <c r="F29" s="1771"/>
      <c r="G29" s="1771"/>
      <c r="H29" s="1771"/>
      <c r="I29" s="1771"/>
      <c r="J29" s="1771"/>
    </row>
    <row r="31" spans="2:19" ht="15.6">
      <c r="B31" s="1774" t="str">
        <f>"YEAR  "&amp;TEXT('KEY INPUTS'!D34,"0")&amp;""</f>
        <v>YEAR  2019</v>
      </c>
      <c r="C31" s="1774"/>
      <c r="D31" s="1774"/>
      <c r="E31" s="1774"/>
      <c r="F31" s="1774"/>
      <c r="G31" s="1774"/>
      <c r="H31" s="1774"/>
      <c r="I31" s="1774"/>
      <c r="J31" s="1774"/>
    </row>
    <row r="32" spans="2:19" ht="13.8" thickBot="1"/>
    <row r="33" spans="2:10" ht="28.5" customHeight="1" thickTop="1" thickBot="1">
      <c r="B33" s="475"/>
      <c r="C33" s="475"/>
      <c r="D33" s="475"/>
      <c r="E33" s="475"/>
      <c r="F33" s="475"/>
      <c r="G33" s="475"/>
      <c r="H33" s="475"/>
      <c r="I33" s="403" t="s">
        <v>125</v>
      </c>
      <c r="J33" s="1009" t="s">
        <v>126</v>
      </c>
    </row>
    <row r="34" spans="2:10" ht="21" customHeight="1" thickTop="1">
      <c r="B34" s="708" t="str">
        <f>'KEY INPUTS'!D25</f>
        <v>Balance - January 1, 2019</v>
      </c>
      <c r="C34" s="457"/>
      <c r="D34" s="457"/>
      <c r="E34" s="457"/>
      <c r="F34" s="457"/>
      <c r="G34" s="457"/>
      <c r="H34" s="457"/>
      <c r="I34" s="469" t="s">
        <v>788</v>
      </c>
      <c r="J34" s="638">
        <v>10686.2</v>
      </c>
    </row>
    <row r="35" spans="2:10" ht="21" customHeight="1">
      <c r="B35" s="402" t="s">
        <v>195</v>
      </c>
      <c r="C35" s="402"/>
      <c r="D35" s="402"/>
      <c r="E35" s="402"/>
      <c r="F35" s="402"/>
      <c r="G35" s="402"/>
      <c r="H35" s="402"/>
      <c r="I35" s="310" t="s">
        <v>788</v>
      </c>
      <c r="J35" s="578"/>
    </row>
    <row r="36" spans="2:10" ht="21" customHeight="1">
      <c r="B36" s="402" t="s">
        <v>196</v>
      </c>
      <c r="C36" s="402"/>
      <c r="D36" s="402"/>
      <c r="E36" s="402"/>
      <c r="F36" s="402"/>
      <c r="G36" s="402"/>
      <c r="H36" s="402"/>
      <c r="I36" s="310" t="s">
        <v>788</v>
      </c>
      <c r="J36" s="578"/>
    </row>
    <row r="37" spans="2:10" ht="21" customHeight="1">
      <c r="B37" s="648" t="s">
        <v>3496</v>
      </c>
      <c r="C37" s="648"/>
      <c r="D37" s="648"/>
      <c r="E37" s="648"/>
      <c r="F37" s="648"/>
      <c r="G37" s="648"/>
      <c r="H37" s="402"/>
      <c r="I37" s="374"/>
      <c r="J37" s="578"/>
    </row>
    <row r="38" spans="2:10" ht="21" customHeight="1">
      <c r="B38" s="648"/>
      <c r="C38" s="648"/>
      <c r="D38" s="648"/>
      <c r="E38" s="648"/>
      <c r="F38" s="648"/>
      <c r="G38" s="648"/>
      <c r="H38" s="402"/>
      <c r="I38" s="374"/>
      <c r="J38" s="578"/>
    </row>
    <row r="39" spans="2:10" ht="21" customHeight="1">
      <c r="B39" s="648"/>
      <c r="C39" s="648"/>
      <c r="D39" s="648"/>
      <c r="E39" s="648"/>
      <c r="F39" s="648"/>
      <c r="G39" s="648"/>
      <c r="H39" s="402"/>
      <c r="I39" s="374"/>
      <c r="J39" s="578"/>
    </row>
    <row r="40" spans="2:10" ht="21" customHeight="1">
      <c r="B40" s="402" t="s">
        <v>3455</v>
      </c>
      <c r="C40" s="402"/>
      <c r="D40" s="402"/>
      <c r="E40" s="402"/>
      <c r="F40" s="402"/>
      <c r="G40" s="402"/>
      <c r="H40" s="402"/>
      <c r="I40" s="374"/>
      <c r="J40" s="264" t="s">
        <v>788</v>
      </c>
    </row>
    <row r="41" spans="2:10" ht="21" customHeight="1">
      <c r="B41" s="406" t="str">
        <f>"Appropriation to "&amp;'KEY INPUTS'!D34&amp;" Budget Reserve"</f>
        <v>Appropriation to 2019 Budget Reserve</v>
      </c>
      <c r="C41" s="402"/>
      <c r="D41" s="402"/>
      <c r="E41" s="402"/>
      <c r="F41" s="402"/>
      <c r="G41" s="562"/>
      <c r="H41" s="402"/>
      <c r="I41" s="575"/>
      <c r="J41" s="264" t="s">
        <v>788</v>
      </c>
    </row>
    <row r="42" spans="2:10" ht="21" customHeight="1">
      <c r="B42" s="402" t="str">
        <f>'KEY INPUTS'!D26</f>
        <v>Balance - December 31, 2019</v>
      </c>
      <c r="C42" s="402"/>
      <c r="D42" s="402"/>
      <c r="E42" s="402"/>
      <c r="F42" s="402"/>
      <c r="G42" s="402"/>
      <c r="H42" s="402"/>
      <c r="I42" s="247">
        <f>SUM(J34:J39)-SUM(I37:I41)</f>
        <v>10686.2</v>
      </c>
      <c r="J42" s="264" t="s">
        <v>788</v>
      </c>
    </row>
    <row r="43" spans="2:10" ht="21" customHeight="1" thickBot="1">
      <c r="I43" s="465">
        <f>SUM(I34:I42)</f>
        <v>10686.2</v>
      </c>
      <c r="J43" s="561">
        <f>SUM(J34:J42)</f>
        <v>10686.2</v>
      </c>
    </row>
    <row r="44" spans="2:10" ht="21" customHeight="1" thickTop="1"/>
    <row r="45" spans="2:10" ht="21" customHeight="1"/>
    <row r="46" spans="2:10" ht="21" customHeight="1"/>
    <row r="47" spans="2:10" ht="21" customHeight="1"/>
    <row r="48" spans="2:10" ht="21" customHeight="1"/>
    <row r="49" spans="2:10" ht="21" customHeight="1"/>
    <row r="52" spans="2:10" ht="13.8">
      <c r="B52" s="1766" t="s">
        <v>3454</v>
      </c>
      <c r="C52" s="1766"/>
      <c r="D52" s="1766"/>
      <c r="E52" s="1766"/>
      <c r="F52" s="1766"/>
      <c r="G52" s="1766"/>
      <c r="H52" s="1766"/>
      <c r="I52" s="1766"/>
      <c r="J52" s="1766"/>
    </row>
  </sheetData>
  <sheetProtection password="CAF9"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8">
    <tabColor theme="3" tint="0.39997558519241921"/>
  </sheetPr>
  <dimension ref="B1:R57"/>
  <sheetViews>
    <sheetView zoomScaleNormal="100" zoomScaleSheetLayoutView="80" workbookViewId="0">
      <selection activeCell="H40" sqref="H40"/>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6"/>
      <c r="C1" s="1116"/>
      <c r="D1" s="1116"/>
      <c r="E1" s="1116"/>
      <c r="F1" s="1116"/>
      <c r="G1" s="1116"/>
      <c r="H1" s="1116"/>
    </row>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INPUTS'!D53)&amp;"  UTILITY  FUND"</f>
        <v>TRIAL  BALANCE -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+'47-Utility2'!L24</f>
        <v>0</v>
      </c>
      <c r="H20" s="1125"/>
      <c r="L20" s="322"/>
      <c r="M20" s="322"/>
      <c r="N20" s="322"/>
      <c r="O20" s="322"/>
      <c r="P20" s="322"/>
      <c r="Q20" s="322"/>
      <c r="R20" s="322"/>
    </row>
    <row r="21" spans="2:18" ht="21" customHeight="1">
      <c r="B21" s="691" t="s">
        <v>3488</v>
      </c>
      <c r="C21" s="691"/>
      <c r="D21" s="691"/>
      <c r="E21" s="691"/>
      <c r="F21" s="691"/>
      <c r="G21" s="690">
        <f>+'47-Utility2'!L54</f>
        <v>0</v>
      </c>
      <c r="H21" s="1116"/>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90">
        <f>+'48-Utility2'!N23</f>
        <v>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+'44-Utility2'!I37</f>
        <v>0</v>
      </c>
      <c r="J31" s="740"/>
    </row>
    <row r="32" spans="2:18" ht="21" customHeight="1">
      <c r="B32" s="691" t="s">
        <v>3411</v>
      </c>
      <c r="C32" s="691"/>
      <c r="D32" s="691"/>
      <c r="E32" s="691"/>
      <c r="F32" s="691"/>
      <c r="G32" s="601"/>
      <c r="H32" s="609"/>
    </row>
    <row r="33" spans="2:10" ht="21" customHeight="1">
      <c r="B33" s="691" t="s">
        <v>3410</v>
      </c>
      <c r="C33" s="691"/>
      <c r="D33" s="691"/>
      <c r="E33" s="691"/>
      <c r="F33" s="691"/>
      <c r="G33" s="601"/>
      <c r="H33" s="1128">
        <f>+'49-Utility2'!I29+'49a-Utility2'!I29+'50-Utility2'!M24+'49a.1-Utility2 '!I29</f>
        <v>0</v>
      </c>
      <c r="J33" s="740"/>
    </row>
    <row r="34" spans="2:10" ht="21" customHeight="1">
      <c r="B34" s="648" t="s">
        <v>3498</v>
      </c>
      <c r="C34" s="648"/>
      <c r="D34" s="648"/>
      <c r="E34" s="648"/>
      <c r="F34" s="652"/>
      <c r="G34" s="601"/>
      <c r="H34" s="609"/>
    </row>
    <row r="35" spans="2:10" ht="21" customHeight="1">
      <c r="B35" s="649"/>
      <c r="C35" s="649"/>
      <c r="D35" s="649"/>
      <c r="E35" s="649"/>
      <c r="F35" s="649"/>
      <c r="G35" s="1114"/>
      <c r="H35" s="1113"/>
    </row>
    <row r="36" spans="2:10" ht="21" customHeight="1">
      <c r="B36" s="648"/>
      <c r="C36" s="648"/>
      <c r="D36" s="648"/>
      <c r="E36" s="648"/>
      <c r="F36" s="648"/>
      <c r="G36" s="601"/>
      <c r="H36" s="609"/>
    </row>
    <row r="37" spans="2:10" ht="21" customHeight="1">
      <c r="B37" s="648"/>
      <c r="C37" s="649"/>
      <c r="D37" s="648"/>
      <c r="E37" s="648"/>
      <c r="F37" s="673"/>
      <c r="G37" s="1115"/>
      <c r="H37" s="631"/>
    </row>
    <row r="38" spans="2:10" ht="21" customHeight="1" thickBot="1">
      <c r="B38" s="648"/>
      <c r="C38" s="648"/>
      <c r="D38" s="648"/>
      <c r="E38" s="648"/>
      <c r="F38" s="648"/>
      <c r="G38" s="631"/>
      <c r="H38" s="633"/>
    </row>
    <row r="39" spans="2:10" ht="21" customHeight="1" thickTop="1">
      <c r="B39" s="691"/>
      <c r="C39" s="691" t="s">
        <v>3409</v>
      </c>
      <c r="D39" s="691"/>
      <c r="E39" s="691"/>
      <c r="F39" s="1286"/>
      <c r="G39" s="1287"/>
      <c r="H39" s="1218">
        <f>SUM(H28:H38)</f>
        <v>0</v>
      </c>
      <c r="I39" s="398" t="s">
        <v>998</v>
      </c>
    </row>
    <row r="40" spans="2:10" ht="21" customHeight="1">
      <c r="B40" s="1130" t="s">
        <v>3499</v>
      </c>
      <c r="C40" s="1130"/>
      <c r="D40" s="1130"/>
      <c r="E40" s="1130"/>
      <c r="F40" s="1130"/>
      <c r="G40" s="1125"/>
      <c r="H40" s="631"/>
    </row>
    <row r="41" spans="2:10" ht="21" customHeight="1">
      <c r="B41" s="691"/>
      <c r="C41" s="691"/>
      <c r="D41" s="691"/>
      <c r="E41" s="691"/>
      <c r="F41" s="691"/>
      <c r="G41" s="690"/>
      <c r="H41" s="1126"/>
    </row>
    <row r="42" spans="2:10" ht="21" customHeight="1">
      <c r="B42" s="691" t="s">
        <v>778</v>
      </c>
      <c r="C42" s="691"/>
      <c r="D42" s="691"/>
      <c r="E42" s="691"/>
      <c r="F42" s="691"/>
      <c r="G42" s="690"/>
      <c r="H42" s="1126">
        <f>+'46-Utility2 '!K27</f>
        <v>0</v>
      </c>
    </row>
    <row r="43" spans="2:10" ht="21" customHeight="1" thickBot="1">
      <c r="B43" s="691"/>
      <c r="C43" s="691"/>
      <c r="D43" s="691"/>
      <c r="E43" s="691"/>
      <c r="F43" s="691"/>
      <c r="G43" s="1131"/>
      <c r="H43" s="1132"/>
    </row>
    <row r="44" spans="2:10" ht="21" customHeight="1" thickBot="1">
      <c r="B44" s="691" t="s">
        <v>3500</v>
      </c>
      <c r="C44" s="691"/>
      <c r="D44" s="691"/>
      <c r="E44" s="691"/>
      <c r="F44" s="691"/>
      <c r="G44" s="1133">
        <f>SUM(G12:G43)</f>
        <v>0</v>
      </c>
      <c r="H44" s="1134">
        <f>SUM(H39:H43)</f>
        <v>0</v>
      </c>
      <c r="J44" s="399">
        <f>G44-H44</f>
        <v>0</v>
      </c>
    </row>
    <row r="45" spans="2:10" ht="13.8" thickTop="1">
      <c r="B45" s="1865" t="s">
        <v>127</v>
      </c>
      <c r="C45" s="1865"/>
      <c r="D45" s="1865"/>
      <c r="E45" s="1865"/>
      <c r="F45" s="1865"/>
      <c r="G45" s="1865"/>
      <c r="H45" s="1865"/>
    </row>
    <row r="46" spans="2:10">
      <c r="B46" s="783"/>
      <c r="C46" s="783"/>
      <c r="D46" s="783"/>
      <c r="E46" s="783"/>
      <c r="F46" s="783"/>
      <c r="G46" s="783"/>
      <c r="H46" s="783"/>
    </row>
    <row r="47" spans="2:10">
      <c r="B47" s="783"/>
      <c r="C47" s="783"/>
      <c r="D47" s="783"/>
      <c r="E47" s="783"/>
      <c r="F47" s="783"/>
      <c r="G47" s="783"/>
      <c r="H47" s="783"/>
    </row>
    <row r="48" spans="2:10">
      <c r="B48" s="783"/>
      <c r="C48" s="783"/>
      <c r="D48" s="783"/>
      <c r="E48" s="783"/>
      <c r="F48" s="783"/>
      <c r="G48" s="783"/>
      <c r="H48" s="783"/>
    </row>
    <row r="49" spans="2:8">
      <c r="B49" s="783"/>
      <c r="C49" s="783"/>
      <c r="D49" s="783"/>
      <c r="E49" s="783"/>
      <c r="F49" s="783"/>
      <c r="G49" s="783"/>
      <c r="H49" s="783"/>
    </row>
    <row r="50" spans="2:8" ht="13.8">
      <c r="B50" s="1766" t="s">
        <v>3407</v>
      </c>
      <c r="C50" s="1766"/>
      <c r="D50" s="1766"/>
      <c r="E50" s="1766"/>
      <c r="F50" s="1766"/>
      <c r="G50" s="1766"/>
      <c r="H50" s="1766"/>
    </row>
    <row r="54" spans="2:8">
      <c r="H54" s="399"/>
    </row>
    <row r="57" spans="2:8">
      <c r="H57" s="399">
        <f>+H44-G44</f>
        <v>0</v>
      </c>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12" width="9.109375" style="322"/>
    <col min="13" max="13" width="10.33203125" style="322" bestFit="1" customWidth="1"/>
    <col min="14" max="16384" width="9.109375" style="322"/>
  </cols>
  <sheetData>
    <row r="3" spans="2:11" ht="22.8">
      <c r="B3" s="1548" t="s">
        <v>543</v>
      </c>
      <c r="C3" s="1548"/>
      <c r="D3" s="1548"/>
      <c r="E3" s="1548"/>
      <c r="F3" s="1548"/>
      <c r="G3" s="1548"/>
      <c r="H3" s="1548"/>
    </row>
    <row r="4" spans="2:11" ht="22.8">
      <c r="B4" s="1548" t="s">
        <v>697</v>
      </c>
      <c r="C4" s="1548"/>
      <c r="D4" s="1548"/>
      <c r="E4" s="1548"/>
      <c r="F4" s="1548"/>
      <c r="G4" s="1548"/>
      <c r="H4" s="1548"/>
    </row>
    <row r="5" spans="2:11" ht="17.399999999999999">
      <c r="B5" s="1559" t="s">
        <v>781</v>
      </c>
      <c r="C5" s="1559"/>
      <c r="D5" s="1559"/>
      <c r="E5" s="1559"/>
      <c r="F5" s="1559"/>
      <c r="G5" s="1559"/>
      <c r="H5" s="1559"/>
    </row>
    <row r="6" spans="2:11" ht="15.6">
      <c r="B6" s="1555" t="str">
        <f>'KEY INPUTS'!D44</f>
        <v>AS  AT  DECEMBER  31, 2019</v>
      </c>
      <c r="C6" s="1509"/>
      <c r="D6" s="1509"/>
      <c r="E6" s="1509"/>
      <c r="F6" s="1509"/>
      <c r="G6" s="1509"/>
      <c r="H6" s="1509"/>
    </row>
    <row r="7" spans="2:11" ht="13.8" thickBot="1"/>
    <row r="8" spans="2:11" ht="36" customHeight="1" thickTop="1" thickBot="1">
      <c r="B8" s="1552" t="s">
        <v>124</v>
      </c>
      <c r="C8" s="1552"/>
      <c r="D8" s="1552"/>
      <c r="E8" s="1552"/>
      <c r="F8" s="1553"/>
      <c r="G8" s="4" t="s">
        <v>125</v>
      </c>
      <c r="H8" s="735" t="s">
        <v>126</v>
      </c>
    </row>
    <row r="9" spans="2:11" ht="21" customHeight="1" thickTop="1">
      <c r="B9" s="856" t="s">
        <v>3532</v>
      </c>
      <c r="C9" s="841"/>
      <c r="D9" s="841"/>
      <c r="E9" s="841"/>
      <c r="F9" s="841"/>
      <c r="G9" s="842">
        <f>+'6.2-Trial Bal-Trust Fnds'!G44</f>
        <v>5664283.6099999994</v>
      </c>
      <c r="H9" s="843">
        <f>+'6.2-Trial Bal-Trust Fnds'!H44</f>
        <v>5664283.6099999994</v>
      </c>
      <c r="I9" s="743"/>
    </row>
    <row r="10" spans="2:11" ht="21" customHeight="1">
      <c r="B10" s="845" t="s">
        <v>3531</v>
      </c>
      <c r="C10" s="640"/>
      <c r="D10" s="640"/>
      <c r="E10" s="640"/>
      <c r="F10" s="640"/>
      <c r="G10" s="844"/>
      <c r="H10" s="664"/>
    </row>
    <row r="11" spans="2:11" ht="21" customHeight="1">
      <c r="B11" s="566"/>
      <c r="C11" s="566"/>
      <c r="D11" s="566"/>
      <c r="E11" s="566"/>
      <c r="F11" s="566"/>
      <c r="G11" s="374"/>
      <c r="H11" s="578"/>
      <c r="I11" s="743"/>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5" t="s">
        <v>1001</v>
      </c>
      <c r="C44" s="640"/>
      <c r="D44" s="640"/>
      <c r="E44" s="640"/>
      <c r="F44" s="640"/>
      <c r="G44" s="844">
        <f>SUM(G9:G43)</f>
        <v>5664283.6099999994</v>
      </c>
      <c r="H44" s="853">
        <f>SUM(H9:H43)</f>
        <v>5664283.6099999994</v>
      </c>
    </row>
    <row r="45" spans="2:13">
      <c r="B45" s="1560" t="s">
        <v>127</v>
      </c>
      <c r="C45" s="1560"/>
      <c r="D45" s="1560"/>
      <c r="E45" s="1560"/>
      <c r="F45" s="1560"/>
      <c r="G45" s="1560"/>
      <c r="H45" s="1560"/>
    </row>
    <row r="46" spans="2:13">
      <c r="B46" s="963"/>
      <c r="C46" s="963"/>
      <c r="D46" s="963"/>
      <c r="E46" s="963"/>
      <c r="F46" s="963"/>
      <c r="G46" s="963"/>
      <c r="H46" s="963"/>
    </row>
    <row r="47" spans="2:13">
      <c r="B47" s="855"/>
      <c r="C47" s="855"/>
      <c r="D47" s="855"/>
      <c r="E47" s="855"/>
      <c r="F47" s="855"/>
      <c r="G47" s="855"/>
      <c r="H47" s="855"/>
    </row>
    <row r="48" spans="2:13" ht="13.8">
      <c r="B48" s="1561" t="s">
        <v>3535</v>
      </c>
      <c r="C48" s="1561"/>
      <c r="D48" s="1561"/>
      <c r="E48" s="1561"/>
      <c r="F48" s="1561"/>
      <c r="G48" s="1561"/>
      <c r="H48" s="1561"/>
    </row>
  </sheetData>
  <sheetProtection algorithmName="SHA-512" hashValue="wgVZFwwhGsomk7e64xfsqxGR/RG2b6CXt1+BTXINWfWfiBgA9Jh/XwYV1ltRMErgLI9cS12u6hhOGIrbTfvS5g==" saltValue="RYh20kgB2C7r2qQ/5xH6g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79">
    <tabColor theme="3"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777"/>
      <c r="C1" s="777"/>
      <c r="D1" s="777"/>
      <c r="E1" s="777"/>
      <c r="F1" s="777"/>
      <c r="G1" s="777"/>
      <c r="H1" s="777"/>
    </row>
    <row r="2" spans="2:17">
      <c r="B2" s="1912" t="s">
        <v>37</v>
      </c>
      <c r="C2" s="1912"/>
      <c r="D2" s="1912"/>
      <c r="E2" s="1912"/>
      <c r="F2" s="1912"/>
      <c r="G2" s="1912"/>
      <c r="H2" s="1912"/>
    </row>
    <row r="3" spans="2:17">
      <c r="B3" s="1912" t="s">
        <v>572</v>
      </c>
      <c r="C3" s="1912"/>
      <c r="D3" s="1912"/>
      <c r="E3" s="1912"/>
      <c r="F3" s="1912"/>
      <c r="G3" s="1912"/>
      <c r="H3" s="1912"/>
    </row>
    <row r="4" spans="2:17">
      <c r="B4" s="777"/>
      <c r="C4" s="777"/>
      <c r="D4" s="777"/>
      <c r="E4" s="777"/>
      <c r="F4" s="777"/>
      <c r="G4" s="777"/>
      <c r="H4" s="777"/>
    </row>
    <row r="5" spans="2:17" ht="22.8">
      <c r="B5" s="1903" t="s">
        <v>543</v>
      </c>
      <c r="C5" s="1903"/>
      <c r="D5" s="1903"/>
      <c r="E5" s="1903"/>
      <c r="F5" s="1903"/>
      <c r="G5" s="1903"/>
      <c r="H5" s="1903"/>
    </row>
    <row r="6" spans="2:17" ht="22.8">
      <c r="B6" s="1903" t="str">
        <f>"TRIAL  BALANCE - "&amp;UPPER('KEY INPUTS'!D53)&amp;"  UTILITY  FUND (cont'd)"</f>
        <v>TRIAL  BALANCE -   UTILITY  FUND (cont'd)</v>
      </c>
      <c r="C6" s="1903"/>
      <c r="D6" s="1903"/>
      <c r="E6" s="1903"/>
      <c r="F6" s="1903"/>
      <c r="G6" s="1903"/>
      <c r="H6" s="1903"/>
    </row>
    <row r="7" spans="2:17" ht="15.6">
      <c r="B7" s="1913" t="str">
        <f>'KEY INPUTS'!D44</f>
        <v>AS  AT  DECEMBER  31, 2019</v>
      </c>
      <c r="C7" s="1851"/>
      <c r="D7" s="1851"/>
      <c r="E7" s="1851"/>
      <c r="F7" s="1851"/>
      <c r="G7" s="1851"/>
      <c r="H7" s="1851"/>
    </row>
    <row r="8" spans="2:17" ht="15.6">
      <c r="B8" s="1911" t="s">
        <v>573</v>
      </c>
      <c r="C8" s="1911"/>
      <c r="D8" s="1911"/>
      <c r="E8" s="1911"/>
      <c r="F8" s="1911"/>
      <c r="G8" s="1911"/>
      <c r="H8" s="1911"/>
    </row>
    <row r="9" spans="2:17">
      <c r="B9" s="1914" t="s">
        <v>79</v>
      </c>
      <c r="C9" s="1914"/>
      <c r="D9" s="1914"/>
      <c r="E9" s="1914"/>
      <c r="F9" s="1914"/>
      <c r="G9" s="1914"/>
      <c r="H9" s="1914"/>
    </row>
    <row r="10" spans="2:17" ht="15" customHeight="1" thickBot="1">
      <c r="B10" s="1915" t="s">
        <v>80</v>
      </c>
      <c r="C10" s="1915"/>
      <c r="D10" s="1915"/>
      <c r="E10" s="1915"/>
      <c r="F10" s="1915"/>
      <c r="G10" s="1915"/>
      <c r="H10" s="1915"/>
    </row>
    <row r="11" spans="2:17" ht="36" customHeight="1" thickTop="1" thickBot="1">
      <c r="B11" s="1916" t="s">
        <v>124</v>
      </c>
      <c r="C11" s="1916"/>
      <c r="D11" s="1916"/>
      <c r="E11" s="1916"/>
      <c r="F11" s="1917"/>
      <c r="G11" s="1288" t="s">
        <v>125</v>
      </c>
      <c r="H11" s="1289" t="s">
        <v>126</v>
      </c>
    </row>
    <row r="12" spans="2:17" ht="21" customHeight="1" thickTop="1">
      <c r="B12" s="777"/>
      <c r="C12" s="777"/>
      <c r="D12" s="777"/>
      <c r="E12" s="777"/>
      <c r="F12" s="777"/>
      <c r="G12" s="1290"/>
      <c r="H12" s="1291"/>
    </row>
    <row r="13" spans="2:17" ht="21" customHeight="1">
      <c r="B13" s="1292" t="s">
        <v>809</v>
      </c>
      <c r="C13" s="1293"/>
      <c r="D13" s="1293"/>
      <c r="E13" s="1293"/>
      <c r="F13" s="1293"/>
      <c r="G13" s="1294"/>
      <c r="H13" s="1295"/>
      <c r="K13" s="322"/>
      <c r="L13" s="322"/>
      <c r="M13" s="322"/>
      <c r="N13" s="322"/>
      <c r="O13" s="322"/>
      <c r="P13" s="322"/>
      <c r="Q13" s="322"/>
    </row>
    <row r="14" spans="2:17" ht="21" customHeight="1">
      <c r="B14" s="1293"/>
      <c r="C14" s="1293"/>
      <c r="D14" s="1293"/>
      <c r="E14" s="1293"/>
      <c r="F14" s="1293"/>
      <c r="G14" s="1294"/>
      <c r="H14" s="1295"/>
      <c r="K14" s="322"/>
      <c r="L14" s="322"/>
      <c r="M14" s="322"/>
      <c r="N14" s="322"/>
      <c r="O14" s="322"/>
      <c r="P14" s="322"/>
      <c r="Q14" s="322"/>
    </row>
    <row r="15" spans="2:17" ht="21" customHeight="1">
      <c r="B15" s="398" t="s">
        <v>251</v>
      </c>
      <c r="C15" s="402"/>
      <c r="D15" s="402"/>
      <c r="E15" s="402"/>
      <c r="F15" s="402"/>
      <c r="G15" s="372"/>
      <c r="H15" s="264" t="s">
        <v>788</v>
      </c>
      <c r="K15" s="377"/>
      <c r="L15" s="322"/>
      <c r="M15" s="322"/>
      <c r="N15" s="322"/>
      <c r="O15" s="322"/>
      <c r="P15" s="322"/>
      <c r="Q15" s="322"/>
    </row>
    <row r="16" spans="2:17" ht="21" customHeight="1">
      <c r="B16" s="402" t="s">
        <v>252</v>
      </c>
      <c r="C16" s="402"/>
      <c r="D16" s="402"/>
      <c r="E16" s="402"/>
      <c r="F16" s="402"/>
      <c r="G16" s="310" t="s">
        <v>788</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459</v>
      </c>
      <c r="D18" s="402"/>
      <c r="E18" s="402"/>
      <c r="F18" s="402"/>
      <c r="G18" s="372"/>
      <c r="H18" s="568"/>
      <c r="K18" s="322"/>
      <c r="L18" s="322"/>
      <c r="M18" s="322"/>
      <c r="N18" s="322"/>
      <c r="O18" s="322"/>
      <c r="P18" s="322"/>
      <c r="Q18" s="322"/>
    </row>
    <row r="19" spans="2:17" ht="21" customHeight="1">
      <c r="B19" s="402"/>
      <c r="C19" s="647"/>
      <c r="D19" s="648"/>
      <c r="E19" s="648"/>
      <c r="F19" s="648"/>
      <c r="G19" s="372"/>
      <c r="H19" s="568"/>
      <c r="K19" s="322"/>
      <c r="L19" s="322"/>
      <c r="M19" s="322"/>
      <c r="N19" s="322"/>
      <c r="O19" s="322"/>
      <c r="P19" s="322"/>
      <c r="Q19" s="322"/>
    </row>
    <row r="20" spans="2:17" ht="21" customHeight="1">
      <c r="B20" s="402"/>
      <c r="C20" s="402" t="s">
        <v>1154</v>
      </c>
      <c r="D20" s="402"/>
      <c r="E20" s="402"/>
      <c r="F20" s="402"/>
      <c r="G20" s="372"/>
      <c r="H20" s="568"/>
      <c r="K20" s="322"/>
      <c r="L20" s="322"/>
      <c r="M20" s="322"/>
      <c r="N20" s="322"/>
      <c r="O20" s="322"/>
      <c r="P20" s="322"/>
      <c r="Q20" s="322"/>
    </row>
    <row r="21" spans="2:17" ht="21" customHeight="1">
      <c r="B21" s="402"/>
      <c r="C21" s="402" t="s">
        <v>810</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838</v>
      </c>
      <c r="E23" s="402"/>
      <c r="F23" s="402"/>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402"/>
      <c r="C43" s="402"/>
      <c r="D43" s="402"/>
      <c r="E43" s="402"/>
      <c r="F43" s="402"/>
      <c r="G43" s="314"/>
      <c r="H43" s="405"/>
      <c r="I43" s="399"/>
      <c r="M43" s="399"/>
    </row>
    <row r="44" spans="2:17" ht="21" customHeight="1" thickBot="1">
      <c r="B44" s="402"/>
      <c r="C44" s="402" t="s">
        <v>3546</v>
      </c>
      <c r="D44" s="402"/>
      <c r="E44" s="402"/>
      <c r="F44" s="402"/>
      <c r="G44" s="343">
        <f>SUM(G15:G42)</f>
        <v>0</v>
      </c>
      <c r="H44" s="404">
        <f>SUM(H15:H43)</f>
        <v>0</v>
      </c>
      <c r="I44" s="399"/>
      <c r="K44" s="399"/>
    </row>
    <row r="45" spans="2:17" ht="13.8" thickTop="1">
      <c r="B45" s="1779" t="s">
        <v>127</v>
      </c>
      <c r="C45" s="1779"/>
      <c r="D45" s="1779"/>
      <c r="E45" s="1779"/>
      <c r="F45" s="1779"/>
      <c r="G45" s="1780"/>
      <c r="H45" s="1780"/>
    </row>
    <row r="46" spans="2:17">
      <c r="B46" s="920"/>
      <c r="C46" s="920"/>
      <c r="D46" s="920"/>
      <c r="E46" s="920"/>
      <c r="F46" s="920"/>
      <c r="G46" s="920"/>
      <c r="H46" s="920"/>
    </row>
    <row r="47" spans="2:17">
      <c r="B47" s="920"/>
      <c r="C47" s="920"/>
      <c r="D47" s="920"/>
      <c r="E47" s="920"/>
      <c r="F47" s="920"/>
      <c r="G47" s="920"/>
      <c r="H47" s="920"/>
    </row>
    <row r="48" spans="2:17">
      <c r="B48" s="920"/>
      <c r="C48" s="920"/>
      <c r="D48" s="920"/>
      <c r="E48" s="920"/>
      <c r="F48" s="920"/>
      <c r="G48" s="920"/>
      <c r="H48" s="920"/>
    </row>
    <row r="49" spans="2:8">
      <c r="B49" s="920"/>
      <c r="C49" s="920"/>
      <c r="D49" s="920"/>
      <c r="E49" s="920"/>
      <c r="F49" s="920"/>
      <c r="G49" s="920"/>
      <c r="H49" s="920"/>
    </row>
    <row r="50" spans="2:8" ht="13.8">
      <c r="B50" s="1766" t="s">
        <v>3413</v>
      </c>
      <c r="C50" s="1766"/>
      <c r="D50" s="1766"/>
      <c r="E50" s="1766"/>
      <c r="F50" s="1766"/>
      <c r="G50" s="1766"/>
      <c r="H50" s="1766"/>
    </row>
    <row r="55" spans="2:8">
      <c r="H55" s="399"/>
    </row>
  </sheetData>
  <sheetProtection algorithmName="SHA-512" hashValue="foxIsMtMB4tGrI4f0NI84qTeM5U+2/qLGS3hQuX6Xs1YP6PkDrlhoNzLrbI/pZXa1sOHDDIfNamgcUq+GW14RA==" saltValue="2MzaHLg0Cz9QmAlhfSWur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0">
    <tabColor theme="3"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INPUTS'!D53)&amp;"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691"/>
      <c r="C12" s="691" t="s">
        <v>3547</v>
      </c>
      <c r="D12" s="691"/>
      <c r="E12" s="691"/>
      <c r="F12" s="691"/>
      <c r="G12" s="908">
        <f>'41a-Utility2'!G44</f>
        <v>0</v>
      </c>
      <c r="H12" s="915">
        <f>'41a-Utility2'!H44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+'49-Utility2'!G22</f>
        <v>0</v>
      </c>
      <c r="K17" s="322"/>
      <c r="L17" s="322"/>
      <c r="M17" s="322"/>
      <c r="N17" s="322"/>
      <c r="O17" s="322"/>
      <c r="P17" s="322"/>
      <c r="Q17" s="322"/>
    </row>
    <row r="18" spans="2:17" ht="21" customHeight="1">
      <c r="B18" s="691"/>
      <c r="C18" s="691" t="s">
        <v>3680</v>
      </c>
      <c r="D18" s="691"/>
      <c r="E18" s="691"/>
      <c r="F18" s="691"/>
      <c r="G18" s="908"/>
      <c r="H18" s="915">
        <f>'49a-Utility2'!G11-'49a-Utility2'!G22+'49a.1-Utility2 '!G11-'49a.1-Utility2 '!G22</f>
        <v>0</v>
      </c>
    </row>
    <row r="19" spans="2:17" ht="21" customHeight="1">
      <c r="B19" s="691"/>
      <c r="C19" s="691" t="s">
        <v>3690</v>
      </c>
      <c r="D19" s="691"/>
      <c r="E19" s="691"/>
      <c r="F19" s="691"/>
      <c r="G19" s="908"/>
      <c r="H19" s="915">
        <f>+'51a-Utility2'!G23</f>
        <v>0</v>
      </c>
      <c r="K19" s="322"/>
      <c r="L19" s="322"/>
      <c r="M19" s="322"/>
      <c r="N19" s="322"/>
      <c r="O19" s="322"/>
      <c r="P19" s="322"/>
      <c r="Q19" s="322"/>
    </row>
    <row r="20" spans="2:17" ht="21" customHeight="1">
      <c r="B20" s="691"/>
      <c r="C20" s="916" t="s">
        <v>3415</v>
      </c>
      <c r="D20" s="691"/>
      <c r="E20" s="691"/>
      <c r="F20" s="691"/>
      <c r="G20" s="908"/>
      <c r="H20" s="915">
        <f>+'50-Utility2'!G18</f>
        <v>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+'52-Totals-Utility2'!K27</f>
        <v>0</v>
      </c>
      <c r="J22" s="399"/>
      <c r="K22" s="322"/>
      <c r="L22" s="322"/>
      <c r="M22" s="322"/>
      <c r="N22" s="322"/>
      <c r="O22" s="322"/>
      <c r="P22" s="322"/>
      <c r="Q22" s="322"/>
    </row>
    <row r="23" spans="2:17" ht="21" customHeight="1">
      <c r="B23" s="691"/>
      <c r="C23" s="691"/>
      <c r="D23" s="691" t="s">
        <v>1003</v>
      </c>
      <c r="E23" s="691"/>
      <c r="F23" s="691"/>
      <c r="G23" s="908"/>
      <c r="H23" s="915">
        <f>+'52-Totals-Utility2'!L27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1"/>
      <c r="C40" s="691" t="s">
        <v>3483</v>
      </c>
      <c r="D40" s="691"/>
      <c r="E40" s="691"/>
      <c r="F40" s="691"/>
      <c r="G40" s="908"/>
      <c r="H40" s="915">
        <f>+'53-Utility2'!I41</f>
        <v>0</v>
      </c>
    </row>
    <row r="41" spans="2:13" ht="21" customHeight="1">
      <c r="B41" s="691"/>
      <c r="C41" s="691" t="s">
        <v>1006</v>
      </c>
      <c r="D41" s="691"/>
      <c r="E41" s="691"/>
      <c r="F41" s="691"/>
      <c r="G41" s="908"/>
      <c r="H41" s="915">
        <f>+'53-Utility2'!I24</f>
        <v>0</v>
      </c>
    </row>
    <row r="42" spans="2:13" ht="21" customHeight="1">
      <c r="B42" s="691"/>
      <c r="C42" s="691" t="s">
        <v>808</v>
      </c>
      <c r="D42" s="691"/>
      <c r="E42" s="691"/>
      <c r="F42" s="691"/>
      <c r="G42" s="908"/>
      <c r="H42" s="915">
        <f>+'54-Utility2'!I42</f>
        <v>0</v>
      </c>
    </row>
    <row r="43" spans="2:13" ht="21" customHeight="1" thickBot="1">
      <c r="B43" s="691"/>
      <c r="C43" s="691"/>
      <c r="D43" s="691"/>
      <c r="E43" s="691"/>
      <c r="F43" s="691"/>
      <c r="G43" s="1296"/>
      <c r="H43" s="1297"/>
      <c r="I43" s="399"/>
      <c r="M43" s="399"/>
    </row>
    <row r="44" spans="2:13" ht="21" customHeight="1" thickBot="1">
      <c r="B44" s="691"/>
      <c r="C44" s="691" t="s">
        <v>1001</v>
      </c>
      <c r="D44" s="691"/>
      <c r="E44" s="691"/>
      <c r="F44" s="691"/>
      <c r="G44" s="1298">
        <f>SUM(G12:G42)</f>
        <v>0</v>
      </c>
      <c r="H44" s="1299">
        <f>SUM(H12:H43)</f>
        <v>0</v>
      </c>
      <c r="I44" s="399"/>
      <c r="K44" s="399"/>
    </row>
    <row r="45" spans="2:13" ht="13.8" thickTop="1">
      <c r="B45" s="1918" t="s">
        <v>127</v>
      </c>
      <c r="C45" s="1918"/>
      <c r="D45" s="1918"/>
      <c r="E45" s="1918"/>
      <c r="F45" s="1918"/>
      <c r="G45" s="1919"/>
      <c r="H45" s="1919"/>
    </row>
    <row r="46" spans="2:13">
      <c r="B46" s="920"/>
      <c r="C46" s="920"/>
      <c r="D46" s="920"/>
      <c r="E46" s="920"/>
      <c r="F46" s="920"/>
      <c r="G46" s="920"/>
      <c r="H46" s="920"/>
    </row>
    <row r="47" spans="2:13">
      <c r="B47" s="920"/>
      <c r="C47" s="920"/>
      <c r="D47" s="920"/>
      <c r="E47" s="920"/>
      <c r="F47" s="920"/>
      <c r="G47" s="920"/>
      <c r="H47" s="920"/>
    </row>
    <row r="48" spans="2:13">
      <c r="B48" s="920"/>
      <c r="C48" s="920"/>
      <c r="D48" s="920"/>
      <c r="E48" s="920"/>
      <c r="F48" s="920"/>
      <c r="G48" s="920"/>
      <c r="H48" s="920"/>
    </row>
    <row r="49" spans="2:8">
      <c r="B49" s="920"/>
      <c r="C49" s="920"/>
      <c r="D49" s="920"/>
      <c r="E49" s="920"/>
      <c r="F49" s="920"/>
      <c r="G49" s="920"/>
      <c r="H49" s="920"/>
    </row>
    <row r="50" spans="2:8" ht="13.8">
      <c r="B50" s="1766" t="s">
        <v>3692</v>
      </c>
      <c r="C50" s="1766"/>
      <c r="D50" s="1766"/>
      <c r="E50" s="1766"/>
      <c r="F50" s="1766"/>
      <c r="G50" s="1766"/>
      <c r="H50" s="1766"/>
    </row>
    <row r="55" spans="2:8">
      <c r="H55" s="399"/>
    </row>
  </sheetData>
  <sheetProtection algorithmName="SHA-512" hashValue="MkKht1pfQR3aU0w9yzookMco6rZ269k+CJesNjab3wo0gvb6aej9JiYYM5rEGOivpyTWta8emNwb3bYzs2KcvQ==" saltValue="UzhI4Db0OTqz1qhsllP2a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1">
    <tabColor theme="3" tint="0.39997558519241921"/>
  </sheetPr>
  <dimension ref="B1: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8"/>
      <c r="C1" s="1148"/>
      <c r="D1" s="1148"/>
      <c r="E1" s="1148"/>
      <c r="F1" s="1148"/>
      <c r="G1" s="1148"/>
      <c r="H1" s="1148"/>
    </row>
    <row r="2" spans="2:18">
      <c r="B2" s="1148"/>
      <c r="C2" s="1148"/>
      <c r="D2" s="1148"/>
      <c r="E2" s="1148"/>
      <c r="F2" s="1148"/>
      <c r="G2" s="1148"/>
      <c r="H2" s="1148"/>
    </row>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601"/>
      <c r="H38" s="1128">
        <f>+'51-Utility1'!G23</f>
        <v>0</v>
      </c>
    </row>
    <row r="39" spans="2:8" ht="21" customHeight="1">
      <c r="B39" s="1139" t="s">
        <v>3485</v>
      </c>
      <c r="C39" s="1139"/>
      <c r="D39" s="1139"/>
      <c r="E39" s="1139"/>
      <c r="F39" s="1139"/>
      <c r="G39" s="601"/>
      <c r="H39" s="1128">
        <f>+'49-Utility1'!G11</f>
        <v>0</v>
      </c>
    </row>
    <row r="40" spans="2:8" ht="21" customHeight="1">
      <c r="B40" s="1139" t="s">
        <v>1000</v>
      </c>
      <c r="C40" s="1139"/>
      <c r="D40" s="1139"/>
      <c r="E40" s="1139"/>
      <c r="F40" s="1139"/>
      <c r="G40" s="601"/>
      <c r="H40" s="1128">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c r="C43" s="1141"/>
      <c r="D43" s="1141"/>
      <c r="E43" s="1141"/>
      <c r="F43" s="1141"/>
      <c r="G43" s="1107">
        <f>SUM(G11:G42)</f>
        <v>0</v>
      </c>
      <c r="H43" s="1142">
        <f>SUM(H11:H42)</f>
        <v>0</v>
      </c>
    </row>
    <row r="44" spans="2:8">
      <c r="B44" s="1788" t="s">
        <v>127</v>
      </c>
      <c r="C44" s="1788"/>
      <c r="D44" s="1788"/>
      <c r="E44" s="1788"/>
      <c r="F44" s="1788"/>
      <c r="G44" s="1788"/>
      <c r="H44" s="1788"/>
    </row>
    <row r="45" spans="2:8">
      <c r="B45" s="1143"/>
      <c r="C45" s="1143"/>
      <c r="D45" s="1143"/>
      <c r="E45" s="1143"/>
      <c r="F45" s="1143"/>
      <c r="G45" s="1143"/>
      <c r="H45" s="1143"/>
    </row>
    <row r="46" spans="2:8">
      <c r="B46" s="1143"/>
      <c r="C46" s="1143"/>
      <c r="D46" s="1143"/>
      <c r="E46" s="1143"/>
      <c r="F46" s="1143"/>
      <c r="G46" s="1143"/>
      <c r="H46" s="1143"/>
    </row>
    <row r="47" spans="2:8">
      <c r="B47" s="1143"/>
      <c r="C47" s="1143"/>
      <c r="D47" s="1143"/>
      <c r="E47" s="1143"/>
      <c r="F47" s="1143"/>
      <c r="G47" s="1143"/>
      <c r="H47" s="1143"/>
    </row>
    <row r="48" spans="2:8">
      <c r="B48" s="1143"/>
      <c r="C48" s="1143"/>
      <c r="D48" s="1143"/>
      <c r="E48" s="1143"/>
      <c r="F48" s="1143"/>
      <c r="G48" s="1143"/>
      <c r="H48" s="1143"/>
    </row>
    <row r="49" spans="2:8" ht="13.8">
      <c r="B49" s="1813" t="s">
        <v>3417</v>
      </c>
      <c r="C49" s="1813"/>
      <c r="D49" s="1813"/>
      <c r="E49" s="1813"/>
      <c r="F49" s="1813"/>
      <c r="G49" s="1813"/>
      <c r="H49" s="1813"/>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2">
    <tabColor theme="3" tint="0.39997558519241921"/>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INPUTS'!D53)&amp;" UTILITY  ASSESSMENT  TRUST  CASH  AND  INVESTMENTS"</f>
        <v>ANALYSIS  OF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3">
    <tabColor theme="3" tint="0.39997558519241921"/>
  </sheetPr>
  <dimension ref="B1:T55"/>
  <sheetViews>
    <sheetView zoomScaleNormal="100" zoomScaleSheetLayoutView="80" workbookViewId="0"/>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6"/>
      <c r="C1" s="1116"/>
      <c r="D1" s="1116"/>
      <c r="E1" s="1116"/>
      <c r="F1" s="1116"/>
      <c r="G1" s="1116"/>
      <c r="H1" s="1116"/>
      <c r="I1" s="1116"/>
      <c r="J1" s="1116"/>
    </row>
    <row r="2" spans="2:20" ht="22.8">
      <c r="B2" s="1760" t="str">
        <f>"SCHEDULE  OF "&amp;UPPER('KEY INPUTS'!D53)&amp;" UTILITY  BUDGET  -  "&amp;TEXT('KEY INPUTS'!D34,"0")&amp;""</f>
        <v>SCHEDULE  OF  UTILITY  BUDGET  -  2019</v>
      </c>
      <c r="C2" s="1760"/>
      <c r="D2" s="1760"/>
      <c r="E2" s="1760"/>
      <c r="F2" s="1760"/>
      <c r="G2" s="1760"/>
      <c r="H2" s="1760"/>
      <c r="I2" s="1760"/>
      <c r="J2" s="1760"/>
    </row>
    <row r="3" spans="2:20" ht="12" customHeight="1">
      <c r="B3" s="1303"/>
      <c r="C3" s="1303"/>
      <c r="D3" s="1303"/>
      <c r="E3" s="1303"/>
      <c r="F3" s="1303"/>
      <c r="G3" s="1303"/>
      <c r="H3" s="1303"/>
      <c r="I3" s="1303"/>
      <c r="J3" s="1303"/>
    </row>
    <row r="4" spans="2:20" ht="17.25" customHeight="1" thickBot="1">
      <c r="B4" s="1920" t="s">
        <v>1056</v>
      </c>
      <c r="C4" s="1920"/>
      <c r="D4" s="1920"/>
      <c r="E4" s="1920"/>
      <c r="F4" s="1920"/>
      <c r="G4" s="1920"/>
      <c r="H4" s="1920"/>
      <c r="I4" s="1920"/>
      <c r="J4" s="1920"/>
    </row>
    <row r="5" spans="2:20" ht="13.8" thickTop="1">
      <c r="B5" s="1921" t="s">
        <v>211</v>
      </c>
      <c r="C5" s="1921"/>
      <c r="D5" s="1921"/>
      <c r="E5" s="1921"/>
      <c r="F5" s="1921"/>
      <c r="G5" s="1886"/>
      <c r="H5" s="1240" t="s">
        <v>677</v>
      </c>
      <c r="I5" s="1240" t="s">
        <v>804</v>
      </c>
      <c r="J5" s="1304" t="s">
        <v>424</v>
      </c>
    </row>
    <row r="6" spans="2:20" ht="13.8" thickBot="1">
      <c r="B6" s="1922"/>
      <c r="C6" s="1922"/>
      <c r="D6" s="1922"/>
      <c r="E6" s="1922"/>
      <c r="F6" s="1922"/>
      <c r="G6" s="1923"/>
      <c r="H6" s="1305"/>
      <c r="I6" s="1305" t="s">
        <v>423</v>
      </c>
      <c r="J6" s="1306" t="s">
        <v>425</v>
      </c>
    </row>
    <row r="7" spans="2:20" ht="21" customHeight="1" thickTop="1">
      <c r="B7" s="1172" t="s">
        <v>3435</v>
      </c>
      <c r="C7" s="1172"/>
      <c r="D7" s="1172"/>
      <c r="E7" s="1172"/>
      <c r="F7" s="1172"/>
      <c r="G7" s="1307" t="s">
        <v>3434</v>
      </c>
      <c r="H7" s="605"/>
      <c r="I7" s="1311">
        <f>H7</f>
        <v>0</v>
      </c>
      <c r="J7" s="1205">
        <f>+I7-H7</f>
        <v>0</v>
      </c>
    </row>
    <row r="8" spans="2:20" ht="10.5" customHeight="1">
      <c r="B8" s="1211" t="s">
        <v>3433</v>
      </c>
      <c r="C8" s="1116"/>
      <c r="D8" s="1116"/>
      <c r="E8" s="1116"/>
      <c r="F8" s="1116"/>
      <c r="G8" s="1308"/>
      <c r="H8" s="1310"/>
      <c r="I8" s="1310"/>
      <c r="J8" s="1120"/>
    </row>
    <row r="9" spans="2:20">
      <c r="B9" s="1130" t="s">
        <v>214</v>
      </c>
      <c r="C9" s="1130"/>
      <c r="D9" s="1130"/>
      <c r="E9" s="1130"/>
      <c r="F9" s="1130"/>
      <c r="G9" s="1309" t="s">
        <v>3432</v>
      </c>
      <c r="H9" s="653"/>
      <c r="I9" s="653"/>
      <c r="J9" s="860">
        <f t="shared" ref="J9:J15" si="0">+I9-H9</f>
        <v>0</v>
      </c>
    </row>
    <row r="10" spans="2:20" ht="21" customHeight="1">
      <c r="B10" s="647"/>
      <c r="C10" s="647"/>
      <c r="D10" s="647"/>
      <c r="E10" s="647"/>
      <c r="F10" s="647"/>
      <c r="G10" s="654"/>
      <c r="H10" s="782"/>
      <c r="I10" s="782"/>
      <c r="J10" s="1312">
        <f t="shared" si="0"/>
        <v>0</v>
      </c>
      <c r="N10" s="322"/>
      <c r="O10" s="322"/>
      <c r="P10" s="322"/>
      <c r="Q10" s="322"/>
      <c r="R10" s="322"/>
      <c r="S10" s="322"/>
      <c r="T10" s="322"/>
    </row>
    <row r="11" spans="2:20" ht="21" customHeight="1">
      <c r="B11" s="647"/>
      <c r="C11" s="647"/>
      <c r="D11" s="647"/>
      <c r="E11" s="647"/>
      <c r="F11" s="647"/>
      <c r="G11" s="654"/>
      <c r="H11" s="782"/>
      <c r="I11" s="782"/>
      <c r="J11" s="1126">
        <f t="shared" si="0"/>
        <v>0</v>
      </c>
      <c r="N11" s="322"/>
      <c r="O11" s="322"/>
      <c r="P11" s="322"/>
      <c r="Q11" s="322"/>
      <c r="R11" s="322"/>
      <c r="S11" s="322"/>
      <c r="T11" s="322"/>
    </row>
    <row r="12" spans="2:20" ht="21" customHeight="1">
      <c r="B12" s="647"/>
      <c r="C12" s="647"/>
      <c r="D12" s="647"/>
      <c r="E12" s="647"/>
      <c r="F12" s="647"/>
      <c r="G12" s="654"/>
      <c r="H12" s="782"/>
      <c r="I12" s="782"/>
      <c r="J12" s="1126">
        <f t="shared" si="0"/>
        <v>0</v>
      </c>
      <c r="N12" s="377"/>
      <c r="O12" s="322"/>
      <c r="P12" s="322"/>
      <c r="Q12" s="322"/>
      <c r="R12" s="322"/>
      <c r="S12" s="322"/>
      <c r="T12" s="322"/>
    </row>
    <row r="13" spans="2:20" ht="21" customHeight="1">
      <c r="B13" s="647"/>
      <c r="C13" s="647"/>
      <c r="D13" s="647"/>
      <c r="E13" s="647"/>
      <c r="F13" s="647"/>
      <c r="G13" s="654"/>
      <c r="H13" s="782"/>
      <c r="I13" s="782"/>
      <c r="J13" s="1126">
        <f t="shared" si="0"/>
        <v>0</v>
      </c>
      <c r="N13" s="322"/>
      <c r="O13" s="322"/>
      <c r="P13" s="322"/>
      <c r="Q13" s="322"/>
      <c r="R13" s="322"/>
      <c r="S13" s="322"/>
      <c r="T13" s="322"/>
    </row>
    <row r="14" spans="2:20" ht="21" customHeight="1">
      <c r="B14" s="647"/>
      <c r="C14" s="647"/>
      <c r="D14" s="647"/>
      <c r="E14" s="647"/>
      <c r="F14" s="647"/>
      <c r="G14" s="654"/>
      <c r="H14" s="782"/>
      <c r="I14" s="782"/>
      <c r="J14" s="1126">
        <f t="shared" si="0"/>
        <v>0</v>
      </c>
      <c r="N14" s="322"/>
      <c r="O14" s="322"/>
      <c r="P14" s="322"/>
      <c r="Q14" s="322"/>
      <c r="R14" s="322"/>
      <c r="S14" s="322"/>
      <c r="T14" s="322"/>
    </row>
    <row r="15" spans="2:20" ht="21" customHeight="1">
      <c r="B15" s="691" t="s">
        <v>3431</v>
      </c>
      <c r="C15" s="691"/>
      <c r="D15" s="691"/>
      <c r="E15" s="691"/>
      <c r="F15" s="691"/>
      <c r="G15" s="1309" t="s">
        <v>3427</v>
      </c>
      <c r="H15" s="782"/>
      <c r="I15" s="782"/>
      <c r="J15" s="1126">
        <f t="shared" si="0"/>
        <v>0</v>
      </c>
      <c r="N15" s="322"/>
      <c r="O15" s="322"/>
      <c r="P15" s="322"/>
      <c r="Q15" s="322"/>
      <c r="R15" s="322"/>
      <c r="S15" s="322"/>
      <c r="T15" s="322"/>
    </row>
    <row r="16" spans="2:20" ht="21" customHeight="1">
      <c r="B16" s="691" t="s">
        <v>3430</v>
      </c>
      <c r="C16" s="691"/>
      <c r="D16" s="691"/>
      <c r="E16" s="691"/>
      <c r="F16" s="691"/>
      <c r="G16" s="1309"/>
      <c r="H16" s="782"/>
      <c r="I16" s="782"/>
      <c r="J16" s="1126"/>
      <c r="N16" s="322"/>
      <c r="O16" s="322"/>
      <c r="P16" s="322"/>
      <c r="Q16" s="322"/>
      <c r="R16" s="322"/>
      <c r="S16" s="322"/>
      <c r="T16" s="322"/>
    </row>
    <row r="17" spans="2:20" ht="21" customHeight="1">
      <c r="B17" s="691" t="s">
        <v>422</v>
      </c>
      <c r="C17" s="691"/>
      <c r="D17" s="691"/>
      <c r="E17" s="691"/>
      <c r="F17" s="691"/>
      <c r="G17" s="1309"/>
      <c r="H17" s="1176" t="s">
        <v>788</v>
      </c>
      <c r="I17" s="1176" t="s">
        <v>788</v>
      </c>
      <c r="J17" s="1302"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2"/>
      <c r="N19" s="322"/>
      <c r="O19" s="322"/>
      <c r="P19" s="322"/>
      <c r="Q19" s="322"/>
      <c r="R19" s="322"/>
      <c r="S19" s="322"/>
      <c r="T19" s="322"/>
    </row>
    <row r="20" spans="2:20" ht="21" customHeight="1" thickTop="1">
      <c r="B20" s="691"/>
      <c r="C20" s="691"/>
      <c r="D20" s="691" t="s">
        <v>421</v>
      </c>
      <c r="E20" s="691"/>
      <c r="F20" s="691"/>
      <c r="G20" s="1314"/>
      <c r="H20" s="1317">
        <f>SUM(H7:H19)</f>
        <v>0</v>
      </c>
      <c r="I20" s="1317">
        <f>SUM(I7:I19)</f>
        <v>0</v>
      </c>
      <c r="J20" s="860">
        <f>SUM(J7:J19)</f>
        <v>0</v>
      </c>
      <c r="N20" s="322"/>
      <c r="O20" s="322"/>
      <c r="P20" s="322"/>
      <c r="Q20" s="322"/>
      <c r="R20" s="322"/>
      <c r="S20" s="322"/>
      <c r="T20" s="322"/>
    </row>
    <row r="21" spans="2:20" ht="21" customHeight="1" thickBot="1">
      <c r="B21" s="691" t="s">
        <v>3429</v>
      </c>
      <c r="C21" s="1315"/>
      <c r="D21" s="1315"/>
      <c r="E21" s="691"/>
      <c r="F21" s="691"/>
      <c r="G21" s="1309" t="s">
        <v>3428</v>
      </c>
      <c r="H21" s="655"/>
      <c r="I21" s="655"/>
      <c r="J21" s="1120">
        <f>I21-H21</f>
        <v>0</v>
      </c>
      <c r="N21" s="322"/>
      <c r="O21" s="322"/>
      <c r="P21" s="322"/>
      <c r="Q21" s="322"/>
      <c r="R21" s="322"/>
      <c r="S21" s="322"/>
      <c r="T21" s="322"/>
    </row>
    <row r="22" spans="2:20" ht="21" customHeight="1" thickTop="1" thickBot="1">
      <c r="B22" s="1116"/>
      <c r="C22" s="1116"/>
      <c r="D22" s="1116"/>
      <c r="E22" s="1116"/>
      <c r="F22" s="1116"/>
      <c r="G22" s="1316" t="s">
        <v>3427</v>
      </c>
      <c r="H22" s="1318">
        <f>+H20+H21</f>
        <v>0</v>
      </c>
      <c r="I22" s="1318">
        <f>+I20+I21</f>
        <v>0</v>
      </c>
      <c r="J22" s="1313">
        <f>+J20+J21</f>
        <v>0</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0" t="s">
        <v>426</v>
      </c>
      <c r="C27" s="1920"/>
      <c r="D27" s="1920"/>
      <c r="E27" s="1920"/>
      <c r="F27" s="1920"/>
      <c r="G27" s="1920"/>
      <c r="H27" s="1920"/>
      <c r="I27" s="1920"/>
      <c r="J27" s="1920"/>
    </row>
    <row r="28" spans="2:20" ht="21" customHeight="1" thickTop="1">
      <c r="B28" s="1319" t="s">
        <v>427</v>
      </c>
      <c r="C28" s="1320"/>
      <c r="D28" s="1320"/>
      <c r="E28" s="1320"/>
      <c r="F28" s="1320"/>
      <c r="G28" s="1320"/>
      <c r="H28" s="1320"/>
      <c r="I28" s="1321"/>
      <c r="J28" s="1322" t="s">
        <v>788</v>
      </c>
    </row>
    <row r="29" spans="2:20" ht="21" customHeight="1">
      <c r="B29" s="1323"/>
      <c r="C29" s="1324" t="s">
        <v>222</v>
      </c>
      <c r="D29" s="1324"/>
      <c r="E29" s="1324"/>
      <c r="F29" s="1324"/>
      <c r="G29" s="1324"/>
      <c r="H29" s="1324"/>
      <c r="I29" s="1325"/>
      <c r="J29" s="656"/>
    </row>
    <row r="30" spans="2:20" ht="21" customHeight="1">
      <c r="B30" s="1323"/>
      <c r="C30" s="1324" t="s">
        <v>428</v>
      </c>
      <c r="D30" s="1324"/>
      <c r="E30" s="1324"/>
      <c r="F30" s="1324"/>
      <c r="G30" s="1324"/>
      <c r="H30" s="1324"/>
      <c r="I30" s="1325"/>
      <c r="J30" s="656"/>
    </row>
    <row r="31" spans="2:20" ht="21" customHeight="1" thickBot="1">
      <c r="B31" s="1323"/>
      <c r="C31" s="1324" t="s">
        <v>429</v>
      </c>
      <c r="D31" s="1324"/>
      <c r="E31" s="1324"/>
      <c r="F31" s="1324"/>
      <c r="G31" s="1324"/>
      <c r="H31" s="1324"/>
      <c r="I31" s="1325"/>
      <c r="J31" s="658"/>
    </row>
    <row r="32" spans="2:20" ht="21" customHeight="1" thickTop="1">
      <c r="B32" s="1323" t="s">
        <v>430</v>
      </c>
      <c r="C32" s="1324"/>
      <c r="D32" s="1324"/>
      <c r="E32" s="1324"/>
      <c r="F32" s="1324"/>
      <c r="G32" s="1324"/>
      <c r="H32" s="1324"/>
      <c r="I32" s="1326"/>
      <c r="J32" s="1327">
        <f>SUM(J29:J31)</f>
        <v>0</v>
      </c>
    </row>
    <row r="33" spans="2:13" ht="21" customHeight="1" thickBot="1">
      <c r="B33" s="1323" t="s">
        <v>431</v>
      </c>
      <c r="C33" s="1324"/>
      <c r="D33" s="1324"/>
      <c r="E33" s="1324"/>
      <c r="F33" s="1324"/>
      <c r="G33" s="1324"/>
      <c r="H33" s="1324"/>
      <c r="I33" s="1326"/>
      <c r="J33" s="657"/>
    </row>
    <row r="34" spans="2:13" ht="21" customHeight="1" thickTop="1">
      <c r="B34" s="1323" t="s">
        <v>917</v>
      </c>
      <c r="C34" s="1324"/>
      <c r="D34" s="1324"/>
      <c r="E34" s="1324"/>
      <c r="F34" s="1324"/>
      <c r="G34" s="1324"/>
      <c r="H34" s="1324"/>
      <c r="I34" s="1326"/>
      <c r="J34" s="1327">
        <f>+J32+J33</f>
        <v>0</v>
      </c>
    </row>
    <row r="35" spans="2:13" ht="21" customHeight="1">
      <c r="B35" s="1323" t="s">
        <v>432</v>
      </c>
      <c r="C35" s="1324"/>
      <c r="D35" s="1324"/>
      <c r="E35" s="1324"/>
      <c r="F35" s="1324"/>
      <c r="G35" s="1324"/>
      <c r="H35" s="1324"/>
      <c r="I35" s="1326"/>
      <c r="J35" s="1328"/>
    </row>
    <row r="36" spans="2:13" ht="21" customHeight="1">
      <c r="B36" s="1330"/>
      <c r="C36" s="1330" t="s">
        <v>754</v>
      </c>
      <c r="D36" s="1330"/>
      <c r="E36" s="1330"/>
      <c r="F36" s="1330"/>
      <c r="G36" s="1330"/>
      <c r="H36" s="1330"/>
      <c r="I36" s="659"/>
      <c r="J36" s="1329"/>
    </row>
    <row r="37" spans="2:13" ht="21" customHeight="1">
      <c r="B37" s="1330"/>
      <c r="C37" s="1330" t="s">
        <v>921</v>
      </c>
      <c r="D37" s="1330"/>
      <c r="E37" s="1330"/>
      <c r="F37" s="1330"/>
      <c r="G37" s="1330"/>
      <c r="H37" s="1330"/>
      <c r="I37" s="659"/>
      <c r="J37" s="1329"/>
    </row>
    <row r="38" spans="2:13" ht="21" customHeight="1" thickBot="1">
      <c r="B38" s="1330" t="s">
        <v>433</v>
      </c>
      <c r="C38" s="1330"/>
      <c r="D38" s="1330"/>
      <c r="E38" s="1330"/>
      <c r="F38" s="1330"/>
      <c r="G38" s="1330"/>
      <c r="H38" s="1330"/>
      <c r="I38" s="660"/>
      <c r="J38" s="656"/>
      <c r="M38" s="399"/>
    </row>
    <row r="39" spans="2:13" ht="21" customHeight="1" thickTop="1" thickBot="1">
      <c r="B39" s="1330" t="s">
        <v>922</v>
      </c>
      <c r="C39" s="1330"/>
      <c r="D39" s="1330"/>
      <c r="E39" s="1330"/>
      <c r="F39" s="1330"/>
      <c r="G39" s="1330"/>
      <c r="H39" s="1330"/>
      <c r="I39" s="1331"/>
      <c r="J39" s="1333">
        <f>SUM(I36:I38)</f>
        <v>0</v>
      </c>
    </row>
    <row r="40" spans="2:13" ht="21" customHeight="1" thickTop="1" thickBot="1">
      <c r="B40" s="1330" t="s">
        <v>434</v>
      </c>
      <c r="C40" s="1330"/>
      <c r="D40" s="1330"/>
      <c r="E40" s="1330"/>
      <c r="F40" s="1330"/>
      <c r="G40" s="1330"/>
      <c r="H40" s="1330"/>
      <c r="I40" s="1332"/>
      <c r="J40" s="1334">
        <f>+J34-J39</f>
        <v>0</v>
      </c>
      <c r="K40" s="399"/>
    </row>
    <row r="41" spans="2:13" ht="13.8"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3.8">
      <c r="B55" s="1766" t="s">
        <v>3419</v>
      </c>
      <c r="C55" s="1766"/>
      <c r="D55" s="1766"/>
      <c r="E55" s="1766"/>
      <c r="F55" s="1766"/>
      <c r="G55" s="1766"/>
      <c r="H55" s="1766"/>
      <c r="I55" s="1766"/>
      <c r="J55" s="176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4">
    <tabColor theme="3" tint="0.39997558519241921"/>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6"/>
      <c r="C1" s="1116"/>
      <c r="D1" s="1116"/>
      <c r="E1" s="1116"/>
      <c r="F1" s="1116"/>
      <c r="G1" s="1116"/>
      <c r="H1" s="1116"/>
      <c r="I1" s="1116"/>
      <c r="J1" s="1116"/>
      <c r="K1" s="1116"/>
    </row>
    <row r="2" spans="2:20">
      <c r="B2" s="1116"/>
      <c r="C2" s="1116"/>
      <c r="D2" s="1116"/>
      <c r="E2" s="1116"/>
      <c r="F2" s="1116"/>
      <c r="G2" s="1116"/>
      <c r="H2" s="1116"/>
      <c r="I2" s="1116"/>
      <c r="J2" s="1116"/>
      <c r="K2" s="1116"/>
    </row>
    <row r="3" spans="2:20" ht="22.8">
      <c r="B3" s="1760" t="str">
        <f>"STATEMENT  OF  "&amp;TEXT('KEY INPUTS'!D34,"0")&amp;"  OPERATION"</f>
        <v>STATEMENT  OF  2019  OPERATION</v>
      </c>
      <c r="C3" s="1760"/>
      <c r="D3" s="1760"/>
      <c r="E3" s="1760"/>
      <c r="F3" s="1760"/>
      <c r="G3" s="1760"/>
      <c r="H3" s="1760"/>
      <c r="I3" s="1760"/>
      <c r="J3" s="1760"/>
      <c r="K3" s="1760"/>
    </row>
    <row r="4" spans="2:20">
      <c r="B4" s="1116"/>
      <c r="C4" s="1116"/>
      <c r="D4" s="1116"/>
      <c r="E4" s="1116"/>
      <c r="F4" s="1116"/>
      <c r="G4" s="1116"/>
      <c r="H4" s="1116"/>
      <c r="I4" s="1116"/>
      <c r="J4" s="1116"/>
      <c r="K4" s="1116"/>
    </row>
    <row r="5" spans="2:20" ht="20.399999999999999">
      <c r="B5" s="1789" t="str">
        <f>UPPER('KEY INPUTS'!D53)&amp;" UTILITY"</f>
        <v xml:space="preserve"> UTILITY</v>
      </c>
      <c r="C5" s="1789"/>
      <c r="D5" s="1789"/>
      <c r="E5" s="1789"/>
      <c r="F5" s="1789"/>
      <c r="G5" s="1789"/>
      <c r="H5" s="1789"/>
      <c r="I5" s="1789"/>
      <c r="J5" s="1789"/>
      <c r="K5" s="1789"/>
    </row>
    <row r="6" spans="2:20">
      <c r="B6" s="1116"/>
      <c r="C6" s="1116"/>
      <c r="D6" s="1116"/>
      <c r="E6" s="1116"/>
      <c r="F6" s="1116"/>
      <c r="G6" s="1116"/>
      <c r="H6" s="1116"/>
      <c r="I6" s="1116"/>
      <c r="J6" s="1116"/>
      <c r="K6" s="1116"/>
    </row>
    <row r="7" spans="2:20">
      <c r="B7" s="1116"/>
      <c r="C7" s="1116"/>
      <c r="D7" s="1116"/>
      <c r="E7" s="1116"/>
      <c r="F7" s="1116"/>
      <c r="G7" s="1116"/>
      <c r="H7" s="1116"/>
      <c r="I7" s="1116"/>
      <c r="J7" s="1116"/>
      <c r="K7" s="1116"/>
    </row>
    <row r="8" spans="2:20">
      <c r="B8" s="1116" t="s">
        <v>408</v>
      </c>
      <c r="C8" s="1191" t="str">
        <f>"Section 1 of this sheet is required to be filled out ONLY IF the "&amp;TEXT('KEY INPUTS'!D34,"0")&amp;" "&amp;PROPER('KEY INPUTS'!D53)&amp;" Utility Budget contained"</f>
        <v>Section 1 of this sheet is required to be filled out ONLY IF the 2019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843"/>
      <c r="N15" s="322"/>
      <c r="O15" s="322"/>
      <c r="P15" s="322"/>
      <c r="Q15" s="322"/>
      <c r="R15" s="322"/>
      <c r="S15" s="322"/>
      <c r="T15" s="322"/>
    </row>
    <row r="16" spans="2:20" ht="21" customHeight="1">
      <c r="B16" s="691"/>
      <c r="C16" s="691" t="s">
        <v>439</v>
      </c>
      <c r="D16" s="691"/>
      <c r="E16" s="691"/>
      <c r="F16" s="691"/>
      <c r="G16" s="691"/>
      <c r="H16" s="691"/>
      <c r="I16" s="691"/>
      <c r="J16" s="844">
        <f>+'44-Utility2'!I20</f>
        <v>0</v>
      </c>
      <c r="K16" s="843"/>
      <c r="N16" s="322"/>
      <c r="O16" s="322"/>
      <c r="P16" s="322"/>
      <c r="Q16" s="322"/>
      <c r="R16" s="322"/>
      <c r="S16" s="322"/>
      <c r="T16" s="322"/>
    </row>
    <row r="17" spans="2:20" ht="21" customHeight="1">
      <c r="B17" s="691"/>
      <c r="C17" s="691" t="s">
        <v>440</v>
      </c>
      <c r="D17" s="691"/>
      <c r="E17" s="691"/>
      <c r="F17" s="691"/>
      <c r="G17" s="691"/>
      <c r="H17" s="691"/>
      <c r="I17" s="691"/>
      <c r="J17" s="575"/>
      <c r="K17" s="843"/>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0</v>
      </c>
      <c r="K18" s="843"/>
      <c r="N18" s="322"/>
      <c r="O18" s="322"/>
      <c r="P18" s="322"/>
      <c r="Q18" s="322"/>
      <c r="R18" s="322"/>
      <c r="S18" s="322"/>
      <c r="T18" s="322"/>
    </row>
    <row r="19" spans="2:20" ht="21" customHeight="1">
      <c r="B19" s="691"/>
      <c r="C19" s="648"/>
      <c r="D19" s="648"/>
      <c r="E19" s="648"/>
      <c r="F19" s="648"/>
      <c r="G19" s="648"/>
      <c r="H19" s="648"/>
      <c r="I19" s="648"/>
      <c r="J19" s="374"/>
      <c r="K19" s="843"/>
      <c r="N19" s="322"/>
      <c r="O19" s="322"/>
      <c r="P19" s="322"/>
      <c r="Q19" s="322"/>
      <c r="R19" s="322"/>
      <c r="S19" s="322"/>
      <c r="T19" s="322"/>
    </row>
    <row r="20" spans="2:20" ht="21" customHeight="1">
      <c r="B20" s="691"/>
      <c r="C20" s="648"/>
      <c r="D20" s="648"/>
      <c r="E20" s="648"/>
      <c r="F20" s="648"/>
      <c r="G20" s="648"/>
      <c r="H20" s="648"/>
      <c r="I20" s="648"/>
      <c r="J20" s="374"/>
      <c r="K20" s="843"/>
      <c r="N20" s="322"/>
      <c r="O20" s="322"/>
      <c r="P20" s="322"/>
      <c r="Q20" s="322"/>
      <c r="R20" s="322"/>
      <c r="S20" s="322"/>
      <c r="T20" s="322"/>
    </row>
    <row r="21" spans="2:20" ht="21" customHeight="1">
      <c r="B21" s="691"/>
      <c r="C21" s="691" t="s">
        <v>441</v>
      </c>
      <c r="D21" s="691"/>
      <c r="E21" s="691"/>
      <c r="F21" s="691"/>
      <c r="G21" s="691"/>
      <c r="H21" s="691"/>
      <c r="I21" s="691"/>
      <c r="J21" s="575"/>
      <c r="K21" s="853">
        <f>SUM(J16:J20)</f>
        <v>0</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+'44-Utility2'!I36</f>
        <v>0</v>
      </c>
      <c r="K24" s="843"/>
      <c r="N24" s="322"/>
      <c r="O24" s="322"/>
      <c r="P24" s="322"/>
      <c r="Q24" s="322"/>
      <c r="R24" s="322"/>
      <c r="S24" s="322"/>
      <c r="T24" s="322"/>
    </row>
    <row r="25" spans="2:20" ht="21" customHeight="1">
      <c r="B25" s="691"/>
      <c r="C25" s="691"/>
      <c r="D25" s="691" t="s">
        <v>921</v>
      </c>
      <c r="E25" s="691"/>
      <c r="F25" s="691"/>
      <c r="G25" s="691"/>
      <c r="H25" s="691"/>
      <c r="I25" s="691"/>
      <c r="J25" s="844">
        <f>+'44-Utility2'!I37</f>
        <v>0</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c r="K27" s="843"/>
      <c r="N27" s="322"/>
      <c r="O27" s="322"/>
      <c r="P27" s="322"/>
      <c r="Q27" s="322"/>
      <c r="R27" s="322"/>
      <c r="S27" s="322"/>
      <c r="T27" s="322"/>
    </row>
    <row r="28" spans="2:20" ht="21" customHeight="1" thickBot="1">
      <c r="B28" s="691"/>
      <c r="C28" s="648"/>
      <c r="D28" s="648"/>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0</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0</v>
      </c>
    </row>
    <row r="33" spans="2:15" ht="21" customHeight="1" thickTop="1" thickBot="1">
      <c r="B33" s="1184" t="s">
        <v>954</v>
      </c>
      <c r="C33" s="1184"/>
      <c r="D33" s="1184"/>
      <c r="E33" s="1184"/>
      <c r="F33" s="1184"/>
      <c r="G33" s="1184"/>
      <c r="H33" s="1184"/>
      <c r="I33" s="1184"/>
      <c r="J33" s="1185"/>
      <c r="K33" s="1186">
        <f>IF(M33&gt;0,M33,0)</f>
        <v>0</v>
      </c>
      <c r="M33" s="399">
        <f>+K21-K32</f>
        <v>0</v>
      </c>
      <c r="N33" s="711" t="s">
        <v>3493</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1179"/>
      <c r="K35" s="843"/>
    </row>
    <row r="36" spans="2:15" ht="12.75" customHeight="1" thickBot="1">
      <c r="B36" s="1802"/>
      <c r="C36" s="1802"/>
      <c r="D36" s="1802"/>
      <c r="E36" s="1130" t="s">
        <v>3784</v>
      </c>
      <c r="F36" s="1130"/>
      <c r="G36" s="1130"/>
      <c r="H36" s="1130"/>
      <c r="I36" s="1130"/>
      <c r="J36" s="1181">
        <f>+K33-J34</f>
        <v>0</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+'44-Utility2'!I21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J42" s="464"/>
      <c r="K42" s="464"/>
    </row>
    <row r="43" spans="2:15" ht="17.399999999999999">
      <c r="B43" s="1170" t="s">
        <v>959</v>
      </c>
      <c r="C43" s="1116"/>
      <c r="D43" s="1116"/>
      <c r="E43" s="1116"/>
      <c r="F43" s="1116"/>
      <c r="G43" s="1116"/>
      <c r="H43" s="1116"/>
      <c r="I43" s="1116"/>
      <c r="J43" s="843"/>
      <c r="K43" s="843"/>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INPUTS'!D53)&amp;" Utility for "&amp;TEXT('KEY INPUTS'!D34,"0")&amp;""</f>
        <v xml:space="preserve"> Utility for 2019</v>
      </c>
      <c r="C46" s="1116"/>
      <c r="D46" s="1116"/>
      <c r="E46" s="1116"/>
      <c r="F46" s="1116"/>
      <c r="G46" s="1116"/>
      <c r="H46" s="1116"/>
      <c r="I46" s="1116"/>
      <c r="J46" s="843"/>
      <c r="K46" s="843"/>
      <c r="O46" s="322"/>
    </row>
    <row r="47" spans="2:15">
      <c r="B47" s="1116"/>
      <c r="C47" s="1116"/>
      <c r="D47" s="1116"/>
      <c r="E47" s="1116"/>
      <c r="F47" s="1116"/>
      <c r="G47" s="1116"/>
      <c r="H47" s="1116"/>
      <c r="I47" s="1116"/>
      <c r="J47" s="843"/>
      <c r="K47" s="843"/>
      <c r="O47" s="322"/>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c r="K48" s="843"/>
      <c r="O48" s="322"/>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s="322"/>
    </row>
    <row r="50" spans="2:15" ht="21" customHeight="1">
      <c r="B50" s="691" t="s">
        <v>960</v>
      </c>
      <c r="C50" s="691"/>
      <c r="D50" s="691"/>
      <c r="E50" s="691"/>
      <c r="F50" s="691"/>
      <c r="G50" s="691"/>
      <c r="H50" s="691"/>
      <c r="I50" s="691"/>
      <c r="J50" s="664"/>
      <c r="K50" s="853">
        <f>+J48-J49</f>
        <v>0</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5">
    <tabColor theme="3" tint="0.39997558519241921"/>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6"/>
      <c r="C1" s="1116"/>
      <c r="D1" s="1116"/>
      <c r="E1" s="1116"/>
      <c r="F1" s="1116"/>
      <c r="G1" s="1116"/>
      <c r="H1" s="1116"/>
      <c r="I1" s="1116"/>
      <c r="J1" s="1116"/>
      <c r="K1" s="1116"/>
      <c r="L1" s="1116"/>
    </row>
    <row r="2" spans="2:26" ht="20.399999999999999">
      <c r="B2" s="1789" t="str">
        <f>"RESULTS  OF  "&amp;TEXT('KEY INPUTS'!D34,"0")&amp;"  OPERATIONS  - "&amp;UPPER('KEY INPUTS'!D53)&amp;" UTILITY"</f>
        <v>RESULTS  OF  2019  OPERATIONS  -  UTILITY</v>
      </c>
      <c r="C2" s="1789"/>
      <c r="D2" s="1789"/>
      <c r="E2" s="1789"/>
      <c r="F2" s="1789"/>
      <c r="G2" s="1789"/>
      <c r="H2" s="1789"/>
      <c r="I2" s="1789"/>
      <c r="J2" s="1789"/>
      <c r="K2" s="1789"/>
      <c r="L2" s="1789"/>
    </row>
    <row r="3" spans="2:26" ht="13.8" thickBot="1">
      <c r="B3" s="1116"/>
      <c r="C3" s="1116"/>
      <c r="D3" s="1116"/>
      <c r="E3" s="1116"/>
      <c r="F3" s="1116"/>
      <c r="G3" s="1116"/>
      <c r="H3" s="1116"/>
      <c r="I3" s="1116"/>
      <c r="J3" s="1116"/>
      <c r="K3" s="1116"/>
      <c r="L3" s="1116"/>
    </row>
    <row r="4" spans="2:26" ht="21" customHeight="1" thickTop="1" thickBot="1">
      <c r="B4" s="1335"/>
      <c r="C4" s="1335"/>
      <c r="D4" s="1335"/>
      <c r="E4" s="1335"/>
      <c r="F4" s="1335"/>
      <c r="G4" s="1335"/>
      <c r="H4" s="1335"/>
      <c r="I4" s="1335"/>
      <c r="J4" s="1335"/>
      <c r="K4" s="1117" t="s">
        <v>125</v>
      </c>
      <c r="L4" s="1118" t="s">
        <v>126</v>
      </c>
    </row>
    <row r="5" spans="2:26" ht="21" customHeight="1" thickTop="1">
      <c r="B5" s="1212" t="s">
        <v>270</v>
      </c>
      <c r="C5" s="1172"/>
      <c r="D5" s="1172"/>
      <c r="E5" s="1172"/>
      <c r="F5" s="1172"/>
      <c r="G5" s="1172"/>
      <c r="H5" s="1172"/>
      <c r="I5" s="1172"/>
      <c r="J5" s="1172"/>
      <c r="K5" s="1204" t="s">
        <v>788</v>
      </c>
      <c r="L5" s="1205">
        <f>IF(+'44-Utility2'!J20&gt;0,+'44-Utility2'!J22,0)</f>
        <v>0</v>
      </c>
      <c r="N5" s="322"/>
      <c r="O5" s="322"/>
      <c r="P5" s="322"/>
      <c r="Q5" s="322"/>
      <c r="R5" s="322"/>
      <c r="S5" s="322"/>
      <c r="T5" s="322"/>
    </row>
    <row r="6" spans="2:26" ht="21" customHeight="1">
      <c r="B6" s="697" t="s">
        <v>271</v>
      </c>
      <c r="C6" s="691"/>
      <c r="D6" s="691"/>
      <c r="E6" s="691"/>
      <c r="F6" s="691"/>
      <c r="G6" s="691"/>
      <c r="H6" s="691"/>
      <c r="I6" s="691"/>
      <c r="J6" s="691"/>
      <c r="K6" s="1206" t="s">
        <v>788</v>
      </c>
      <c r="L6" s="1126">
        <f>+'44-Utility2'!J40</f>
        <v>0</v>
      </c>
      <c r="M6" s="740"/>
      <c r="N6" s="322"/>
      <c r="O6" s="322"/>
      <c r="P6" s="322"/>
      <c r="Q6" s="322"/>
      <c r="R6" s="322"/>
      <c r="S6" s="322"/>
      <c r="T6" s="322"/>
    </row>
    <row r="7" spans="2:26" ht="21" customHeight="1">
      <c r="B7" s="697" t="s">
        <v>272</v>
      </c>
      <c r="C7" s="691"/>
      <c r="D7" s="691"/>
      <c r="E7" s="691"/>
      <c r="F7" s="691"/>
      <c r="G7" s="691"/>
      <c r="H7" s="691"/>
      <c r="I7" s="691"/>
      <c r="J7" s="691"/>
      <c r="K7" s="1206" t="s">
        <v>788</v>
      </c>
      <c r="L7" s="1126">
        <f>'45-Utility2'!J17</f>
        <v>0</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691"/>
      <c r="J8" s="691"/>
      <c r="K8" s="1206" t="s">
        <v>788</v>
      </c>
      <c r="L8" s="1126">
        <f>+'45-Utility2'!K50</f>
        <v>0</v>
      </c>
      <c r="N8" s="322"/>
      <c r="O8" s="322"/>
      <c r="P8" s="322"/>
      <c r="Q8" s="322"/>
      <c r="R8" s="322"/>
      <c r="S8" s="322"/>
      <c r="T8" s="322"/>
    </row>
    <row r="9" spans="2:26" ht="21" customHeight="1">
      <c r="B9" s="706"/>
      <c r="C9" s="648"/>
      <c r="D9" s="648"/>
      <c r="E9" s="648"/>
      <c r="F9" s="648"/>
      <c r="G9" s="648"/>
      <c r="H9" s="648"/>
      <c r="I9" s="691"/>
      <c r="J9" s="691"/>
      <c r="K9" s="659"/>
      <c r="L9" s="609"/>
      <c r="N9" s="322"/>
      <c r="O9" s="322"/>
      <c r="P9" s="322"/>
      <c r="Q9" s="322"/>
      <c r="R9" s="322"/>
      <c r="S9" s="322"/>
      <c r="T9" s="322"/>
    </row>
    <row r="10" spans="2:26" ht="21" customHeight="1">
      <c r="B10" s="1116" t="s">
        <v>3443</v>
      </c>
      <c r="C10" s="1116"/>
      <c r="D10" s="1116"/>
      <c r="E10" s="1116"/>
      <c r="F10" s="1116"/>
      <c r="G10" s="1116"/>
      <c r="H10" s="1116"/>
      <c r="I10" s="1116"/>
      <c r="J10" s="1116"/>
      <c r="K10" s="1200"/>
      <c r="L10" s="1208" t="s">
        <v>788</v>
      </c>
      <c r="M10" s="399">
        <f>+L9+L8+L7+L6+L5-K11-K10-K9</f>
        <v>0</v>
      </c>
      <c r="N10" s="711" t="s">
        <v>3667</v>
      </c>
      <c r="O10" s="322"/>
      <c r="P10" s="322"/>
      <c r="Q10" s="322"/>
      <c r="R10" s="322"/>
      <c r="S10" s="322"/>
      <c r="T10" s="322"/>
      <c r="V10" s="477">
        <f>-'44-Utility2'!U22</f>
        <v>0</v>
      </c>
    </row>
    <row r="11" spans="2:26" ht="21" customHeight="1">
      <c r="B11" s="703"/>
      <c r="C11" s="1201"/>
      <c r="D11" s="648"/>
      <c r="E11" s="648"/>
      <c r="F11" s="648"/>
      <c r="G11" s="648"/>
      <c r="H11" s="648"/>
      <c r="I11" s="691"/>
      <c r="J11" s="691"/>
      <c r="K11" s="601"/>
      <c r="L11" s="1208" t="s">
        <v>788</v>
      </c>
      <c r="N11" s="322"/>
      <c r="O11" s="322"/>
      <c r="P11" s="322"/>
      <c r="Q11" s="322"/>
      <c r="R11" s="322"/>
      <c r="S11" s="322"/>
      <c r="T11" s="322"/>
      <c r="U11" s="322"/>
      <c r="V11" s="322"/>
      <c r="W11" s="322"/>
      <c r="X11" s="322"/>
      <c r="Y11" s="322"/>
      <c r="Z11" s="322"/>
    </row>
    <row r="12" spans="2:26" ht="21" customHeight="1">
      <c r="B12" s="697" t="s">
        <v>273</v>
      </c>
      <c r="C12" s="1174"/>
      <c r="D12" s="691"/>
      <c r="E12" s="691"/>
      <c r="F12" s="691"/>
      <c r="G12" s="691"/>
      <c r="H12" s="691"/>
      <c r="I12" s="691"/>
      <c r="J12" s="691"/>
      <c r="K12" s="1206" t="s">
        <v>788</v>
      </c>
      <c r="L12" s="1207">
        <f>IF(M10&gt;0,0,M10*-1)</f>
        <v>0</v>
      </c>
      <c r="N12" s="322"/>
      <c r="O12" s="322"/>
      <c r="P12" s="322"/>
      <c r="Q12" s="322"/>
      <c r="R12" s="322"/>
      <c r="S12" s="322"/>
      <c r="T12" s="322"/>
      <c r="U12" s="322"/>
      <c r="V12" s="322"/>
      <c r="W12" s="322"/>
      <c r="X12" s="322"/>
      <c r="Y12" s="322"/>
      <c r="Z12" s="322"/>
    </row>
    <row r="13" spans="2:26" ht="21" customHeight="1" thickBot="1">
      <c r="B13" s="697" t="s">
        <v>274</v>
      </c>
      <c r="C13" s="1174"/>
      <c r="D13" s="691"/>
      <c r="E13" s="691"/>
      <c r="F13" s="691"/>
      <c r="G13" s="691"/>
      <c r="H13" s="691"/>
      <c r="I13" s="691"/>
      <c r="J13" s="691"/>
      <c r="K13" s="690">
        <f>IF(M10&gt;0,M10,0)</f>
        <v>0</v>
      </c>
      <c r="L13" s="1209" t="s">
        <v>788</v>
      </c>
      <c r="M13" s="399"/>
      <c r="N13" s="322"/>
      <c r="O13" s="322"/>
      <c r="P13" s="322"/>
      <c r="Q13" s="322"/>
      <c r="R13" s="322"/>
      <c r="S13" s="322"/>
      <c r="T13" s="322"/>
      <c r="U13" s="322"/>
      <c r="V13" s="476">
        <f>U11</f>
        <v>0</v>
      </c>
      <c r="W13" s="322"/>
      <c r="X13" s="322"/>
      <c r="Y13" s="322"/>
      <c r="Z13" s="322"/>
    </row>
    <row r="14" spans="2:26" ht="21" customHeight="1" thickBot="1">
      <c r="B14" s="1211" t="s">
        <v>3442</v>
      </c>
      <c r="C14" s="1116"/>
      <c r="D14" s="1116"/>
      <c r="E14" s="1116"/>
      <c r="F14" s="1116"/>
      <c r="G14" s="1116"/>
      <c r="H14" s="1116"/>
      <c r="I14" s="1116"/>
      <c r="J14" s="1116"/>
      <c r="K14" s="1133">
        <f>SUM(K5:K13)</f>
        <v>0</v>
      </c>
      <c r="L14" s="1134">
        <f>SUM(L5:L13)</f>
        <v>0</v>
      </c>
      <c r="M14" s="399">
        <f>L14-K14</f>
        <v>0</v>
      </c>
      <c r="N14" s="711" t="s">
        <v>3667</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INPUTS'!D53)&amp;" UTILITY"</f>
        <v>OPERATING  SURPLUS  -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B18" s="1116"/>
      <c r="C18" s="1116"/>
      <c r="D18" s="1116"/>
      <c r="E18" s="1116"/>
      <c r="F18" s="1116"/>
      <c r="G18" s="1116"/>
      <c r="H18" s="1116"/>
      <c r="I18" s="1116"/>
      <c r="J18" s="1116"/>
      <c r="K18" s="1116"/>
      <c r="L18" s="1116"/>
      <c r="N18" s="322"/>
      <c r="O18" s="322"/>
      <c r="P18" s="322"/>
      <c r="Q18" s="322"/>
      <c r="R18" s="322"/>
      <c r="S18" s="322"/>
      <c r="T18" s="322"/>
    </row>
    <row r="19" spans="2:20" ht="25.5" customHeight="1" thickTop="1" thickBot="1">
      <c r="B19" s="1335"/>
      <c r="C19" s="1335"/>
      <c r="D19" s="1335"/>
      <c r="E19" s="1335"/>
      <c r="F19" s="1335"/>
      <c r="G19" s="1335"/>
      <c r="H19" s="1335"/>
      <c r="I19" s="1335"/>
      <c r="J19" s="133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337" t="s">
        <v>788</v>
      </c>
      <c r="L20" s="926"/>
      <c r="N20" s="322"/>
      <c r="O20" s="322"/>
      <c r="P20" s="322"/>
      <c r="Q20" s="322"/>
      <c r="R20" s="322"/>
      <c r="S20" s="322"/>
      <c r="T20" s="322"/>
    </row>
    <row r="21" spans="2:20" ht="21" customHeight="1">
      <c r="B21" s="1202"/>
      <c r="C21" s="648"/>
      <c r="D21" s="648"/>
      <c r="E21" s="648"/>
      <c r="F21" s="648"/>
      <c r="G21" s="648"/>
      <c r="H21" s="648"/>
      <c r="I21" s="648"/>
      <c r="J21" s="648"/>
      <c r="K21" s="1200"/>
      <c r="L21" s="924"/>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338" t="s">
        <v>788</v>
      </c>
      <c r="L22" s="1339">
        <f>+K13</f>
        <v>0</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1340">
        <f>'44-Utility2'!I7</f>
        <v>0</v>
      </c>
      <c r="L23" s="1341"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926"/>
      <c r="L24" s="1924" t="s">
        <v>788</v>
      </c>
    </row>
    <row r="25" spans="2:20" ht="12.75" customHeight="1">
      <c r="B25" s="1130" t="s">
        <v>1066</v>
      </c>
      <c r="C25" s="1130"/>
      <c r="D25" s="1130"/>
      <c r="E25" s="1130"/>
      <c r="F25" s="1130"/>
      <c r="G25" s="1130"/>
      <c r="H25" s="1130"/>
      <c r="I25" s="1130"/>
      <c r="J25" s="1130"/>
      <c r="K25" s="1927"/>
      <c r="L25" s="1925"/>
    </row>
    <row r="26" spans="2:20" ht="21" customHeight="1">
      <c r="B26" s="1202"/>
      <c r="C26" s="648"/>
      <c r="D26" s="648"/>
      <c r="E26" s="648"/>
      <c r="F26" s="648"/>
      <c r="G26" s="648"/>
      <c r="H26" s="648"/>
      <c r="I26" s="648"/>
      <c r="J26" s="648"/>
      <c r="K26" s="925"/>
      <c r="L26" s="1203"/>
    </row>
    <row r="27" spans="2:20" ht="21" customHeight="1" thickBot="1">
      <c r="B27" s="691" t="str">
        <f>'KEY INPUTS'!D26</f>
        <v>Balance - December 31, 2019</v>
      </c>
      <c r="C27" s="691"/>
      <c r="D27" s="691"/>
      <c r="E27" s="691"/>
      <c r="F27" s="691"/>
      <c r="G27" s="691"/>
      <c r="H27" s="691"/>
      <c r="I27" s="691"/>
      <c r="J27" s="691"/>
      <c r="K27" s="1342">
        <f>+SUM(L20:L26)-SUM(K21:K26)</f>
        <v>0</v>
      </c>
      <c r="L27" s="1343" t="s">
        <v>788</v>
      </c>
      <c r="N27" s="778" t="s">
        <v>3530</v>
      </c>
    </row>
    <row r="28" spans="2:20" ht="21" customHeight="1" thickBot="1">
      <c r="B28" s="1116"/>
      <c r="C28" s="1116"/>
      <c r="D28" s="1116"/>
      <c r="E28" s="1116"/>
      <c r="F28" s="1116"/>
      <c r="G28" s="1116"/>
      <c r="H28" s="1116"/>
      <c r="I28" s="1116"/>
      <c r="J28" s="1116"/>
      <c r="K28" s="1133">
        <f>SUM(K21:K27)</f>
        <v>0</v>
      </c>
      <c r="L28" s="1134">
        <f>SUM(L20:L27)</f>
        <v>0</v>
      </c>
    </row>
    <row r="29" spans="2:20" ht="13.8" thickTop="1"/>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6" t="str">
        <f>"(FROM "&amp;UPPER('KEY INPUTS'!D53)&amp;" UTILITY  -  TRIAL  BALANCE)"</f>
        <v>(FROM  UTILITY  -  TRIAL  BALANCE)</v>
      </c>
      <c r="C33" s="1806"/>
      <c r="D33" s="1806"/>
      <c r="E33" s="1806"/>
      <c r="F33" s="1806"/>
      <c r="G33" s="1806"/>
      <c r="H33" s="1806"/>
      <c r="I33" s="1806"/>
      <c r="J33" s="1806"/>
      <c r="K33" s="1806"/>
      <c r="L33" s="1806"/>
    </row>
    <row r="34" spans="2:14" ht="13.8" thickBot="1">
      <c r="B34" s="1116"/>
      <c r="C34" s="1116"/>
      <c r="D34" s="1116"/>
      <c r="E34" s="1116"/>
      <c r="F34" s="1116"/>
      <c r="G34" s="1116"/>
      <c r="H34" s="1116"/>
      <c r="I34" s="1116"/>
      <c r="J34" s="1116"/>
      <c r="K34" s="1116"/>
      <c r="L34" s="1116"/>
    </row>
    <row r="35" spans="2:14" ht="21" customHeight="1" thickTop="1">
      <c r="B35" s="1172" t="s">
        <v>253</v>
      </c>
      <c r="C35" s="1172"/>
      <c r="D35" s="1172"/>
      <c r="E35" s="1172"/>
      <c r="F35" s="1172"/>
      <c r="G35" s="1172"/>
      <c r="H35" s="1172"/>
      <c r="I35" s="1172"/>
      <c r="J35" s="1172"/>
      <c r="K35" s="1216"/>
      <c r="L35" s="1215">
        <f>+'41-Utility2'!G13</f>
        <v>0</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0</v>
      </c>
    </row>
    <row r="39" spans="2:14" ht="21" customHeight="1" thickBot="1">
      <c r="B39" s="691" t="s">
        <v>470</v>
      </c>
      <c r="C39" s="691"/>
      <c r="D39" s="691"/>
      <c r="E39" s="691"/>
      <c r="F39" s="691"/>
      <c r="G39" s="691"/>
      <c r="H39" s="691"/>
      <c r="I39" s="691"/>
      <c r="J39" s="691"/>
      <c r="K39" s="1217"/>
      <c r="L39" s="1219">
        <f>+'41-Utility2'!H39</f>
        <v>0</v>
      </c>
    </row>
    <row r="40" spans="2:14" ht="21" customHeight="1" thickTop="1">
      <c r="B40" s="691"/>
      <c r="C40" s="691"/>
      <c r="D40" s="691" t="s">
        <v>268</v>
      </c>
      <c r="E40" s="691"/>
      <c r="F40" s="691"/>
      <c r="G40" s="691"/>
      <c r="H40" s="691"/>
      <c r="I40" s="691"/>
      <c r="J40" s="691"/>
      <c r="K40" s="1217"/>
      <c r="L40" s="1218">
        <f>+L38-L39</f>
        <v>0</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0</v>
      </c>
    </row>
    <row r="45" spans="2:14" ht="21" customHeight="1" thickBot="1">
      <c r="B45" s="472" t="str">
        <f>"# MAY NOT BE ANTICIPATED AS NON-CASH SURPLUS IN "&amp;TEXT('KEY INPUTS'!D34,"0")&amp;" BUDGET."</f>
        <v># MAY NOT BE ANTICIPATED AS NON-CASH SURPLUS IN 2019 BUDGET.</v>
      </c>
      <c r="K45" s="471"/>
      <c r="L45" s="1220">
        <f>+L40+L44</f>
        <v>0</v>
      </c>
      <c r="M45" s="399"/>
      <c r="N45" s="778" t="s">
        <v>3530</v>
      </c>
    </row>
    <row r="46" spans="2:14" ht="13.8" thickTop="1">
      <c r="B46" s="470" t="s">
        <v>275</v>
      </c>
      <c r="C46" s="470"/>
    </row>
    <row r="47" spans="2:14">
      <c r="B47" s="470"/>
      <c r="C47" s="470" t="s">
        <v>3441</v>
      </c>
    </row>
    <row r="52" spans="2:12" ht="13.8">
      <c r="B52" s="1766" t="s">
        <v>3440</v>
      </c>
      <c r="C52" s="1766"/>
      <c r="D52" s="1766"/>
      <c r="E52" s="1766"/>
      <c r="F52" s="1766"/>
      <c r="G52" s="1766"/>
      <c r="H52" s="1766"/>
      <c r="I52" s="1766"/>
      <c r="J52" s="1766"/>
      <c r="K52" s="1766"/>
      <c r="L52" s="1766"/>
    </row>
  </sheetData>
  <sheetProtection password="CAF9"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6">
    <tabColor theme="3" tint="0.39997558519241921"/>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INPUTS'!D53&amp;"  UTILITY  ACCOUNTS  RECEIVABLE")</f>
        <v>SCHEDULE  OF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4" t="s">
        <v>3782</v>
      </c>
      <c r="E11" s="1194"/>
      <c r="F11" s="1116"/>
      <c r="G11" s="777"/>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9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INPUTS'!D53)&amp;" UTILITY  LIENS"</f>
        <v>SCHEDULE  OF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Lr41UFh0gCT9j5/tJDXmtOMtYYF8f92KKl/PB7uM9KFPsAnQWBvrB22jNe6bAacsnbIjdzVUDUBrvJptoqaHMw==" saltValue="nzYyoMsRI0nvVFK5W22kY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7">
    <tabColor theme="3" tint="0.39997558519241921"/>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8"/>
      <c r="C1" s="1148"/>
      <c r="D1" s="1148"/>
      <c r="E1" s="1148"/>
      <c r="F1" s="1148"/>
      <c r="G1" s="1148"/>
      <c r="H1" s="1148"/>
      <c r="I1" s="1148"/>
      <c r="J1" s="1148"/>
      <c r="K1" s="1148"/>
      <c r="L1" s="1148"/>
      <c r="M1" s="1148"/>
      <c r="N1" s="1148"/>
    </row>
    <row r="2" spans="2:23">
      <c r="B2" s="1148"/>
      <c r="C2" s="1148"/>
      <c r="D2" s="1148"/>
      <c r="E2" s="1148"/>
      <c r="F2" s="1148"/>
      <c r="G2" s="1148"/>
      <c r="H2" s="1148"/>
      <c r="I2" s="1148"/>
      <c r="J2" s="1148"/>
      <c r="K2" s="1148"/>
      <c r="L2" s="1148"/>
      <c r="M2" s="1148"/>
      <c r="N2" s="1148"/>
    </row>
    <row r="3" spans="2:23" ht="20.399999999999999">
      <c r="B3" s="1871" t="s">
        <v>1130</v>
      </c>
      <c r="C3" s="1871"/>
      <c r="D3" s="1871"/>
      <c r="E3" s="1871"/>
      <c r="F3" s="1871"/>
      <c r="G3" s="1871"/>
      <c r="H3" s="1871"/>
      <c r="I3" s="1871"/>
      <c r="J3" s="1871"/>
      <c r="K3" s="1871"/>
      <c r="L3" s="1871"/>
      <c r="M3" s="1871"/>
      <c r="N3" s="1871"/>
    </row>
    <row r="4" spans="2:23" ht="15.6">
      <c r="B4" s="1929" t="s">
        <v>540</v>
      </c>
      <c r="C4" s="1929"/>
      <c r="D4" s="1929"/>
      <c r="E4" s="1929"/>
      <c r="F4" s="1929"/>
      <c r="G4" s="1929"/>
      <c r="H4" s="1929"/>
      <c r="I4" s="1929"/>
      <c r="J4" s="1929"/>
      <c r="K4" s="1929"/>
      <c r="L4" s="1929"/>
      <c r="M4" s="1929"/>
      <c r="N4" s="1929"/>
    </row>
    <row r="5" spans="2:23" ht="20.399999999999999">
      <c r="B5" s="1789" t="str">
        <f>UPPER('KEY INPUTS'!D53)&amp;" UTILITY  FUND"</f>
        <v xml:space="preserve"> UTILITY  FUND</v>
      </c>
      <c r="C5" s="1789"/>
      <c r="D5" s="1789"/>
      <c r="E5" s="1789"/>
      <c r="F5" s="1789"/>
      <c r="G5" s="1789"/>
      <c r="H5" s="1789"/>
      <c r="I5" s="1789"/>
      <c r="J5" s="1789"/>
      <c r="K5" s="1789"/>
      <c r="L5" s="1789"/>
      <c r="M5" s="1789"/>
      <c r="N5" s="1789"/>
    </row>
    <row r="6" spans="2:23">
      <c r="B6" s="1930" t="s">
        <v>283</v>
      </c>
      <c r="C6" s="1930"/>
      <c r="D6" s="1930"/>
      <c r="E6" s="1930"/>
      <c r="F6" s="1930"/>
      <c r="G6" s="1930"/>
      <c r="H6" s="1930"/>
      <c r="I6" s="1930"/>
      <c r="J6" s="1930"/>
      <c r="K6" s="1930"/>
      <c r="L6" s="1930"/>
      <c r="M6" s="1930"/>
      <c r="N6" s="1930"/>
    </row>
    <row r="7" spans="2:23">
      <c r="B7" s="1148"/>
      <c r="C7" s="1148"/>
      <c r="D7" s="1148"/>
      <c r="E7" s="1148"/>
      <c r="F7" s="1148"/>
      <c r="G7" s="1148"/>
      <c r="H7" s="1148"/>
      <c r="I7" s="1148"/>
      <c r="J7" s="1148"/>
      <c r="K7" s="1148"/>
      <c r="L7" s="1148"/>
      <c r="M7" s="1148"/>
      <c r="N7" s="1148"/>
    </row>
    <row r="8" spans="2:23">
      <c r="B8" s="1148"/>
      <c r="C8" s="1148"/>
      <c r="D8" s="1148"/>
      <c r="E8" s="1148"/>
      <c r="F8" s="1148"/>
      <c r="G8" s="1148"/>
      <c r="H8" s="1143" t="s">
        <v>533</v>
      </c>
      <c r="I8" s="1148"/>
      <c r="J8" s="1148"/>
      <c r="K8" s="1148"/>
      <c r="L8" s="1148"/>
      <c r="M8" s="1148"/>
      <c r="N8" s="1148"/>
    </row>
    <row r="9" spans="2:23">
      <c r="B9" s="1148"/>
      <c r="C9" s="1931" t="s">
        <v>553</v>
      </c>
      <c r="D9" s="1931"/>
      <c r="E9" s="1931"/>
      <c r="F9" s="1148"/>
      <c r="G9" s="1148"/>
      <c r="H9" s="1346" t="str">
        <f>'KEY INPUTS'!D45</f>
        <v>Dec. 31, 2018</v>
      </c>
      <c r="I9" s="1148"/>
      <c r="J9" s="1143" t="s">
        <v>554</v>
      </c>
      <c r="K9" s="1148"/>
      <c r="L9" s="1143" t="s">
        <v>533</v>
      </c>
      <c r="M9" s="1148"/>
      <c r="N9" s="1143" t="s">
        <v>672</v>
      </c>
    </row>
    <row r="10" spans="2:23">
      <c r="B10" s="1148"/>
      <c r="C10" s="1148"/>
      <c r="D10" s="1148"/>
      <c r="E10" s="1148"/>
      <c r="F10" s="1148"/>
      <c r="G10" s="1148"/>
      <c r="H10" s="1143" t="s">
        <v>552</v>
      </c>
      <c r="I10" s="1148"/>
      <c r="J10" s="1143">
        <f>'KEY INPUTS'!D34</f>
        <v>2019</v>
      </c>
      <c r="K10" s="1148"/>
      <c r="L10" s="1143" t="s">
        <v>555</v>
      </c>
      <c r="M10" s="1148"/>
      <c r="N10" s="1143" t="s">
        <v>556</v>
      </c>
    </row>
    <row r="11" spans="2:23">
      <c r="B11" s="1148"/>
      <c r="C11" s="1148"/>
      <c r="D11" s="1148"/>
      <c r="E11" s="1148"/>
      <c r="F11" s="1148"/>
      <c r="G11" s="1148"/>
      <c r="H11" s="1347" t="s">
        <v>551</v>
      </c>
      <c r="I11" s="1148"/>
      <c r="J11" s="1347" t="s">
        <v>677</v>
      </c>
      <c r="K11" s="1148"/>
      <c r="L11" s="1347">
        <f>'KEY INPUTS'!D34</f>
        <v>2019</v>
      </c>
      <c r="M11" s="1148"/>
      <c r="N11" s="1348" t="str">
        <f>'KEY INPUTS'!D46</f>
        <v>Dec. 31, 2019</v>
      </c>
      <c r="Q11" s="322"/>
      <c r="R11" s="322"/>
      <c r="S11" s="322"/>
      <c r="T11" s="322"/>
      <c r="U11" s="322"/>
      <c r="V11" s="322"/>
      <c r="W11" s="322"/>
    </row>
    <row r="12" spans="2:23">
      <c r="B12" s="1349" t="s">
        <v>384</v>
      </c>
      <c r="C12" s="1148" t="s">
        <v>1131</v>
      </c>
      <c r="D12" s="1148"/>
      <c r="E12" s="1148"/>
      <c r="F12" s="1148"/>
      <c r="G12" s="1148"/>
      <c r="H12" s="1148"/>
      <c r="I12" s="1148"/>
      <c r="J12" s="1148"/>
      <c r="K12" s="1148"/>
      <c r="L12" s="1148"/>
      <c r="M12" s="1148"/>
      <c r="N12" s="1148"/>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3408</v>
      </c>
      <c r="D15" s="669"/>
      <c r="E15" s="669"/>
      <c r="F15" s="669"/>
      <c r="G15" s="331" t="s">
        <v>482</v>
      </c>
      <c r="H15" s="580"/>
      <c r="I15" s="331" t="s">
        <v>482</v>
      </c>
      <c r="J15" s="580"/>
      <c r="K15" s="331" t="s">
        <v>482</v>
      </c>
      <c r="L15" s="580"/>
      <c r="M15" s="331" t="s">
        <v>482</v>
      </c>
      <c r="N15" s="1226">
        <f>+H15-J15+L15</f>
        <v>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350" t="s">
        <v>3492</v>
      </c>
      <c r="D20" s="1228"/>
      <c r="E20" s="1228"/>
      <c r="F20" s="1228"/>
      <c r="G20" s="741" t="s">
        <v>482</v>
      </c>
      <c r="H20" s="1227">
        <f>H13+H15+H16+H17+H18+H19</f>
        <v>0</v>
      </c>
      <c r="I20" s="741" t="s">
        <v>482</v>
      </c>
      <c r="J20" s="1227">
        <f>J13+J15+J16+J17+J18+J19</f>
        <v>0</v>
      </c>
      <c r="K20" s="741" t="s">
        <v>482</v>
      </c>
      <c r="L20" s="1227">
        <f>L13+L15+L16+L17+L18+L19</f>
        <v>0</v>
      </c>
      <c r="M20" s="331" t="s">
        <v>482</v>
      </c>
      <c r="N20" s="1227">
        <f>N13+N15+N16+N17+N18+N19</f>
        <v>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741" t="s">
        <v>482</v>
      </c>
      <c r="H23" s="1227">
        <f>H21+H22</f>
        <v>0</v>
      </c>
      <c r="I23" s="741" t="s">
        <v>482</v>
      </c>
      <c r="J23" s="1227">
        <f>J21+J22</f>
        <v>0</v>
      </c>
      <c r="K23" s="741" t="s">
        <v>482</v>
      </c>
      <c r="L23" s="1227">
        <f>L21+L22</f>
        <v>0</v>
      </c>
      <c r="M23" s="331" t="s">
        <v>482</v>
      </c>
      <c r="N23" s="1226">
        <f t="shared" si="0"/>
        <v>0</v>
      </c>
      <c r="Q23" s="322"/>
      <c r="R23" s="322"/>
      <c r="S23" s="322"/>
      <c r="T23" s="322"/>
      <c r="U23" s="322"/>
      <c r="V23" s="322"/>
      <c r="W23" s="322"/>
    </row>
    <row r="24" spans="2:23">
      <c r="B24" s="1349"/>
      <c r="C24" s="1148"/>
      <c r="D24" s="1148"/>
      <c r="E24" s="1148"/>
      <c r="F24" s="1148"/>
      <c r="G24" s="1148"/>
      <c r="H24" s="1148"/>
      <c r="I24" s="1148"/>
      <c r="J24" s="1148"/>
      <c r="K24" s="1148"/>
      <c r="L24" s="1148"/>
      <c r="M24" s="1148"/>
      <c r="N24" s="1148"/>
      <c r="Q24" s="322"/>
      <c r="R24" s="322"/>
      <c r="S24" s="322"/>
      <c r="T24" s="322"/>
      <c r="U24" s="322"/>
      <c r="V24" s="322"/>
      <c r="W24" s="322"/>
    </row>
    <row r="25" spans="2:23">
      <c r="B25" s="1349"/>
      <c r="C25" s="1148" t="s">
        <v>1134</v>
      </c>
      <c r="D25" s="1148"/>
      <c r="E25" s="1148"/>
      <c r="F25" s="1148"/>
      <c r="G25" s="1148"/>
      <c r="H25" s="1148"/>
      <c r="I25" s="1148"/>
      <c r="J25" s="1148"/>
      <c r="K25" s="1148"/>
      <c r="L25" s="1148"/>
      <c r="M25" s="1148"/>
      <c r="N25" s="1148"/>
      <c r="Q25" s="322"/>
      <c r="R25" s="322"/>
      <c r="S25" s="322"/>
      <c r="T25" s="322"/>
      <c r="U25" s="322"/>
      <c r="V25" s="322"/>
      <c r="W25" s="322"/>
    </row>
    <row r="26" spans="2:23">
      <c r="B26" s="1349"/>
      <c r="C26" s="1148"/>
      <c r="D26" s="1148"/>
      <c r="E26" s="1148"/>
      <c r="F26" s="1148"/>
      <c r="G26" s="1148"/>
      <c r="H26" s="1148"/>
      <c r="I26" s="1148"/>
      <c r="J26" s="1148"/>
      <c r="K26" s="1148"/>
      <c r="L26" s="1148"/>
      <c r="M26" s="1148"/>
      <c r="N26" s="1148"/>
      <c r="Q26" s="322"/>
      <c r="R26" s="322"/>
      <c r="S26" s="322"/>
      <c r="T26" s="322"/>
      <c r="U26" s="322"/>
      <c r="V26" s="322"/>
      <c r="W26" s="322"/>
    </row>
    <row r="27" spans="2:23">
      <c r="B27" s="1349"/>
      <c r="C27" s="1148"/>
      <c r="D27" s="1148"/>
      <c r="E27" s="1148"/>
      <c r="F27" s="1148"/>
      <c r="G27" s="1148"/>
      <c r="H27" s="1148"/>
      <c r="I27" s="1148"/>
      <c r="J27" s="1148"/>
      <c r="K27" s="1148"/>
      <c r="L27" s="1148"/>
      <c r="M27" s="1148"/>
      <c r="N27" s="1148"/>
      <c r="Q27" s="322"/>
      <c r="R27" s="322"/>
      <c r="S27" s="322"/>
      <c r="T27" s="322"/>
      <c r="U27" s="322"/>
      <c r="V27" s="322"/>
      <c r="W27" s="322"/>
    </row>
    <row r="28" spans="2:23" ht="15.6">
      <c r="B28" s="1928" t="s">
        <v>530</v>
      </c>
      <c r="C28" s="1928"/>
      <c r="D28" s="1928"/>
      <c r="E28" s="1928"/>
      <c r="F28" s="1928"/>
      <c r="G28" s="1928"/>
      <c r="H28" s="1928"/>
      <c r="I28" s="1928"/>
      <c r="J28" s="1928"/>
      <c r="K28" s="1928"/>
      <c r="L28" s="1928"/>
      <c r="M28" s="1928"/>
      <c r="N28" s="1928"/>
    </row>
    <row r="29" spans="2:23" ht="15.6">
      <c r="B29" s="1928" t="s">
        <v>531</v>
      </c>
      <c r="C29" s="1928"/>
      <c r="D29" s="1928"/>
      <c r="E29" s="1928"/>
      <c r="F29" s="1928"/>
      <c r="G29" s="1928"/>
      <c r="H29" s="1928"/>
      <c r="I29" s="1928"/>
      <c r="J29" s="1928"/>
      <c r="K29" s="1928"/>
      <c r="L29" s="1928"/>
      <c r="M29" s="1928"/>
      <c r="N29" s="1928"/>
    </row>
    <row r="30" spans="2:23" ht="6.75" customHeight="1">
      <c r="B30" s="1351"/>
      <c r="C30" s="1351"/>
      <c r="D30" s="1351"/>
      <c r="E30" s="1351"/>
      <c r="F30" s="1351"/>
      <c r="G30" s="1351"/>
      <c r="H30" s="1351"/>
      <c r="I30" s="1351"/>
      <c r="J30" s="1351"/>
      <c r="K30" s="1351"/>
      <c r="L30" s="1351"/>
      <c r="M30" s="1351"/>
      <c r="N30" s="1351"/>
    </row>
    <row r="31" spans="2:23" ht="18" customHeight="1">
      <c r="B31" s="1349"/>
      <c r="C31" s="1148"/>
      <c r="D31" s="1932" t="s">
        <v>18</v>
      </c>
      <c r="E31" s="1932"/>
      <c r="F31" s="1352"/>
      <c r="G31" s="1932" t="s">
        <v>532</v>
      </c>
      <c r="H31" s="1932"/>
      <c r="I31" s="1932"/>
      <c r="J31" s="1932"/>
      <c r="K31" s="1932"/>
      <c r="L31" s="1932"/>
      <c r="M31" s="1352"/>
      <c r="N31" s="135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1349"/>
      <c r="C37" s="1148"/>
      <c r="D37" s="1148"/>
      <c r="E37" s="1148"/>
      <c r="F37" s="1148"/>
      <c r="G37" s="1148"/>
      <c r="H37" s="1148"/>
      <c r="I37" s="1148"/>
      <c r="J37" s="1148"/>
      <c r="K37" s="1148"/>
      <c r="L37" s="1148"/>
      <c r="M37" s="1148"/>
      <c r="N37" s="1148"/>
    </row>
    <row r="38" spans="2:14">
      <c r="B38" s="1349"/>
      <c r="C38" s="1148"/>
      <c r="D38" s="1148"/>
      <c r="E38" s="1148"/>
      <c r="F38" s="1148"/>
      <c r="G38" s="1148"/>
      <c r="H38" s="1148"/>
      <c r="I38" s="1148"/>
      <c r="J38" s="1148"/>
      <c r="K38" s="1148"/>
      <c r="L38" s="1148"/>
      <c r="M38" s="1148"/>
      <c r="N38" s="1148"/>
    </row>
    <row r="39" spans="2:14">
      <c r="B39" s="1349"/>
      <c r="C39" s="1148"/>
      <c r="D39" s="1148"/>
      <c r="E39" s="1148"/>
      <c r="F39" s="1148"/>
      <c r="G39" s="1148"/>
      <c r="H39" s="1148"/>
      <c r="I39" s="1148"/>
      <c r="J39" s="1148"/>
      <c r="K39" s="1148"/>
      <c r="L39" s="1148"/>
      <c r="M39" s="1148"/>
      <c r="N39" s="1148"/>
    </row>
    <row r="40" spans="2:14" ht="15.6">
      <c r="B40" s="1928" t="s">
        <v>322</v>
      </c>
      <c r="C40" s="1928"/>
      <c r="D40" s="1928"/>
      <c r="E40" s="1928"/>
      <c r="F40" s="1928"/>
      <c r="G40" s="1928"/>
      <c r="H40" s="1928"/>
      <c r="I40" s="1928"/>
      <c r="J40" s="1928"/>
      <c r="K40" s="1928"/>
      <c r="L40" s="1928"/>
      <c r="M40" s="1928"/>
      <c r="N40" s="1928"/>
    </row>
    <row r="41" spans="2:14">
      <c r="B41" s="1349"/>
      <c r="C41" s="1148"/>
      <c r="D41" s="1148"/>
      <c r="E41" s="1148"/>
      <c r="F41" s="1148"/>
      <c r="G41" s="1148"/>
      <c r="H41" s="1148"/>
      <c r="I41" s="1148"/>
      <c r="J41" s="1148"/>
      <c r="K41" s="1148"/>
      <c r="L41" s="1148"/>
      <c r="M41" s="1148"/>
      <c r="N41" s="1148"/>
    </row>
    <row r="42" spans="2:14">
      <c r="B42" s="1349"/>
      <c r="C42" s="1148"/>
      <c r="D42" s="1148"/>
      <c r="E42" s="1148"/>
      <c r="F42" s="1148"/>
      <c r="G42" s="1148"/>
      <c r="H42" s="1148"/>
      <c r="I42" s="1148"/>
      <c r="J42" s="1148"/>
      <c r="K42" s="1148"/>
      <c r="L42" s="1148"/>
      <c r="M42" s="1148"/>
      <c r="N42" s="1143" t="s">
        <v>538</v>
      </c>
    </row>
    <row r="43" spans="2:14">
      <c r="B43" s="1349"/>
      <c r="C43" s="1148"/>
      <c r="D43" s="1148"/>
      <c r="E43" s="1148"/>
      <c r="F43" s="1148"/>
      <c r="G43" s="1148"/>
      <c r="H43" s="1148"/>
      <c r="I43" s="1148"/>
      <c r="J43" s="1148"/>
      <c r="K43" s="1148"/>
      <c r="L43" s="1148"/>
      <c r="M43" s="1148"/>
      <c r="N43" s="1143" t="s">
        <v>539</v>
      </c>
    </row>
    <row r="44" spans="2:14">
      <c r="B44" s="1349"/>
      <c r="C44" s="1148"/>
      <c r="D44" s="1931" t="s">
        <v>535</v>
      </c>
      <c r="E44" s="1931"/>
      <c r="F44" s="1148"/>
      <c r="G44" s="1148"/>
      <c r="H44" s="1931" t="s">
        <v>536</v>
      </c>
      <c r="I44" s="1931"/>
      <c r="J44" s="1347" t="s">
        <v>537</v>
      </c>
      <c r="K44" s="1148"/>
      <c r="L44" s="1347" t="s">
        <v>533</v>
      </c>
      <c r="M44" s="1148"/>
      <c r="N44" s="1347" t="str">
        <f>"Year "&amp;TEXT('KEY INPUTS'!D34,"0")&amp;""</f>
        <v>Year 2019</v>
      </c>
    </row>
    <row r="45" spans="2:14">
      <c r="B45" s="1349"/>
      <c r="C45" s="1148"/>
      <c r="D45" s="1148"/>
      <c r="E45" s="1148"/>
      <c r="F45" s="1148"/>
      <c r="G45" s="1148"/>
      <c r="H45" s="1148"/>
      <c r="I45" s="1148"/>
      <c r="J45" s="1148"/>
      <c r="K45" s="1148"/>
      <c r="L45" s="1148"/>
      <c r="M45" s="1148"/>
      <c r="N45" s="114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UfJ6OLOSCtrplRXBnjqAApCIl4dO91l/WgB10XwUg2IUy95n+bw9UddJjlnWQDpcBWuKFaNchbpRMh6At+PWLg==" saltValue="l4QGPl4HIAfpE+bfB8O5X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8">
    <tabColor theme="3" tint="0.39997558519241921"/>
  </sheetPr>
  <dimension ref="B1: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1" spans="2:21">
      <c r="B1" s="1116"/>
      <c r="C1" s="1116"/>
      <c r="D1" s="1116"/>
      <c r="E1" s="1116"/>
      <c r="F1" s="1116"/>
      <c r="G1" s="1116"/>
      <c r="H1" s="1116"/>
      <c r="I1" s="1116"/>
      <c r="J1" s="1116"/>
      <c r="K1" s="1116"/>
      <c r="L1" s="1116"/>
    </row>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INPUTS'!D53)&amp;" UTILITY  ASSESSMENT  BONDS"</f>
        <v xml:space="preserve"> UTILITY  ASSESSMENT  BONDS</v>
      </c>
      <c r="C4" s="1762"/>
      <c r="D4" s="1762"/>
      <c r="E4" s="1762"/>
      <c r="F4" s="1762"/>
      <c r="G4" s="1762"/>
      <c r="H4" s="1762"/>
      <c r="I4" s="1762"/>
      <c r="J4" s="1762"/>
      <c r="K4" s="1762"/>
      <c r="L4" s="1762"/>
    </row>
    <row r="5" spans="2:21" ht="9.75" customHeight="1" thickBot="1">
      <c r="B5" s="1381"/>
      <c r="C5" s="1381"/>
      <c r="D5" s="1381"/>
      <c r="E5" s="1381"/>
      <c r="F5" s="1381"/>
      <c r="G5" s="1381"/>
      <c r="H5" s="1381"/>
      <c r="I5" s="1381"/>
      <c r="J5" s="1381"/>
      <c r="K5" s="1381"/>
      <c r="L5" s="1381"/>
    </row>
    <row r="6" spans="2:21" ht="27.75" customHeight="1" thickTop="1" thickBot="1">
      <c r="B6" s="1335"/>
      <c r="C6" s="1335"/>
      <c r="D6" s="1335"/>
      <c r="E6" s="1335"/>
      <c r="F6" s="1335"/>
      <c r="G6" s="1117" t="s">
        <v>125</v>
      </c>
      <c r="H6" s="1933" t="s">
        <v>126</v>
      </c>
      <c r="I6" s="1764"/>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72"/>
      <c r="D7" s="1172"/>
      <c r="E7" s="1172"/>
      <c r="F7" s="1172"/>
      <c r="G7" s="1173" t="s">
        <v>788</v>
      </c>
      <c r="H7" s="1706"/>
      <c r="I7" s="1707"/>
      <c r="O7" s="322"/>
      <c r="P7" s="322"/>
      <c r="Q7" s="322"/>
      <c r="R7" s="322"/>
      <c r="S7" s="322"/>
      <c r="T7" s="322"/>
      <c r="U7" s="322"/>
    </row>
    <row r="8" spans="2:21" ht="21" customHeight="1">
      <c r="B8" s="691" t="s">
        <v>113</v>
      </c>
      <c r="C8" s="691"/>
      <c r="D8" s="691"/>
      <c r="E8" s="691"/>
      <c r="F8" s="691"/>
      <c r="G8" s="1176" t="s">
        <v>788</v>
      </c>
      <c r="H8" s="1680"/>
      <c r="I8" s="1681"/>
      <c r="O8" s="377"/>
      <c r="P8" s="322"/>
      <c r="Q8" s="322"/>
      <c r="R8" s="322"/>
      <c r="S8" s="322"/>
      <c r="T8" s="322"/>
      <c r="U8" s="322"/>
    </row>
    <row r="9" spans="2:21" ht="21" customHeight="1">
      <c r="B9" s="691"/>
      <c r="C9" s="691"/>
      <c r="D9" s="691"/>
      <c r="E9" s="691"/>
      <c r="F9" s="691"/>
      <c r="G9" s="1176"/>
      <c r="H9" s="1382"/>
      <c r="I9" s="1230"/>
      <c r="O9" s="322"/>
      <c r="P9" s="322"/>
      <c r="Q9" s="322"/>
      <c r="R9" s="322"/>
      <c r="S9" s="322"/>
      <c r="T9" s="322"/>
      <c r="U9" s="322"/>
    </row>
    <row r="10" spans="2:21" ht="21" customHeight="1">
      <c r="B10" s="691" t="s">
        <v>326</v>
      </c>
      <c r="C10" s="691"/>
      <c r="D10" s="691"/>
      <c r="E10" s="691"/>
      <c r="F10" s="691"/>
      <c r="G10" s="601"/>
      <c r="H10" s="1831" t="s">
        <v>788</v>
      </c>
      <c r="I10" s="1832"/>
      <c r="O10" s="322"/>
      <c r="P10" s="322"/>
      <c r="Q10" s="322"/>
      <c r="R10" s="322"/>
      <c r="S10" s="322"/>
      <c r="T10" s="322"/>
      <c r="U10" s="322"/>
    </row>
    <row r="11" spans="2:21" ht="21" customHeight="1" thickBot="1">
      <c r="B11" s="691" t="str">
        <f>'KEY INPUTS'!D28</f>
        <v>Outstanding - December 31, 2019</v>
      </c>
      <c r="C11" s="691"/>
      <c r="D11" s="691"/>
      <c r="E11" s="691"/>
      <c r="F11" s="691"/>
      <c r="G11" s="1131">
        <f>+H7+H8-G10</f>
        <v>0</v>
      </c>
      <c r="H11" s="1833" t="s">
        <v>788</v>
      </c>
      <c r="I11" s="1834"/>
      <c r="O11" s="322"/>
      <c r="P11" s="322"/>
      <c r="Q11" s="322"/>
      <c r="R11" s="322"/>
      <c r="S11" s="322"/>
      <c r="T11" s="322"/>
      <c r="U11" s="322"/>
    </row>
    <row r="12" spans="2:21" ht="21" customHeight="1" thickBot="1">
      <c r="B12" s="1116"/>
      <c r="C12" s="1116"/>
      <c r="D12" s="1116"/>
      <c r="E12" s="1116"/>
      <c r="F12" s="1116"/>
      <c r="G12" s="1133">
        <f>SUM(G7:G11)</f>
        <v>0</v>
      </c>
      <c r="H12" s="1838">
        <f>SUM(H7:I11)</f>
        <v>0</v>
      </c>
      <c r="I12" s="1839"/>
      <c r="O12" s="322"/>
      <c r="P12" s="322"/>
      <c r="Q12" s="322"/>
      <c r="R12" s="322"/>
      <c r="S12" s="322"/>
      <c r="T12" s="322"/>
      <c r="U12" s="322"/>
    </row>
    <row r="13" spans="2:21" ht="21" customHeight="1" thickTop="1">
      <c r="B13" s="1384" t="str">
        <f>TEXT('KEY INPUTS'!D34+1,"0")&amp;" Bond Maturities - Assessment Bonds"</f>
        <v>2020 Bond Maturities - Assessment Bonds</v>
      </c>
      <c r="C13" s="1130"/>
      <c r="D13" s="1130"/>
      <c r="E13" s="1130"/>
      <c r="F13" s="1130"/>
      <c r="G13" s="1130"/>
      <c r="H13" s="1130"/>
      <c r="I13" s="1383"/>
      <c r="J13" s="451" t="s">
        <v>482</v>
      </c>
      <c r="K13" s="1715"/>
      <c r="L13" s="1715"/>
      <c r="O13" s="322"/>
      <c r="P13" s="322"/>
      <c r="Q13" s="322"/>
      <c r="R13" s="322"/>
      <c r="S13" s="322"/>
      <c r="T13" s="322"/>
      <c r="U13" s="322"/>
    </row>
    <row r="14" spans="2:21" ht="21" customHeight="1" thickBot="1">
      <c r="B14" s="1385" t="str">
        <f>TEXT('KEY INPUTS'!D34+1,"0")&amp;" Interest on Bonds"</f>
        <v>2020 Interest on Bonds</v>
      </c>
      <c r="C14" s="1234"/>
      <c r="D14" s="1234"/>
      <c r="E14" s="1234"/>
      <c r="F14" s="1234"/>
      <c r="G14" s="1259"/>
      <c r="H14" s="488" t="s">
        <v>482</v>
      </c>
      <c r="I14" s="608"/>
      <c r="O14" s="322"/>
      <c r="P14" s="322"/>
      <c r="Q14" s="322"/>
      <c r="R14" s="322"/>
      <c r="S14" s="322"/>
      <c r="T14" s="322"/>
      <c r="U14" s="322"/>
    </row>
    <row r="15" spans="2:21" ht="16.5" customHeight="1" thickTop="1">
      <c r="B15" s="1844"/>
      <c r="C15" s="1844"/>
      <c r="D15" s="1844"/>
      <c r="E15" s="1844"/>
      <c r="F15" s="1844"/>
      <c r="G15" s="1844"/>
      <c r="H15" s="1844"/>
      <c r="I15" s="1845"/>
      <c r="O15" s="322"/>
      <c r="P15" s="322"/>
      <c r="Q15" s="322"/>
      <c r="R15" s="322"/>
      <c r="S15" s="322"/>
      <c r="T15" s="322"/>
      <c r="U15" s="322"/>
    </row>
    <row r="16" spans="2:21" ht="26.25" customHeight="1" thickBot="1">
      <c r="B16" s="1936" t="str">
        <f>UPPER('KEY INPUTS'!D53) &amp;" UTILITY  CAPITAL  BONDS"</f>
        <v xml:space="preserve"> UTILITY  CAPITAL  BONDS</v>
      </c>
      <c r="C16" s="1936"/>
      <c r="D16" s="1936"/>
      <c r="E16" s="1936"/>
      <c r="F16" s="1936"/>
      <c r="G16" s="1936"/>
      <c r="H16" s="1936"/>
      <c r="I16" s="1937"/>
      <c r="O16" s="322"/>
      <c r="P16" s="322"/>
      <c r="Q16" s="322"/>
      <c r="R16" s="322"/>
      <c r="S16" s="322"/>
      <c r="T16" s="322"/>
      <c r="U16" s="322"/>
    </row>
    <row r="17" spans="2:21" ht="21" customHeight="1" thickTop="1">
      <c r="B17" s="1213" t="str">
        <f>'KEY INPUTS'!D27</f>
        <v>Outstanding - January 1, 2019</v>
      </c>
      <c r="C17" s="1172"/>
      <c r="D17" s="1172"/>
      <c r="E17" s="1172"/>
      <c r="F17" s="1172"/>
      <c r="G17" s="1173" t="s">
        <v>788</v>
      </c>
      <c r="H17" s="1706"/>
      <c r="I17" s="1707"/>
      <c r="O17" s="322"/>
      <c r="P17" s="322"/>
      <c r="Q17" s="322"/>
      <c r="R17" s="322"/>
      <c r="S17" s="322"/>
      <c r="T17" s="322"/>
      <c r="U17" s="322"/>
    </row>
    <row r="18" spans="2:21" ht="21" customHeight="1">
      <c r="B18" s="691" t="s">
        <v>113</v>
      </c>
      <c r="C18" s="691"/>
      <c r="D18" s="691"/>
      <c r="E18" s="691"/>
      <c r="F18" s="691"/>
      <c r="G18" s="1176" t="s">
        <v>788</v>
      </c>
      <c r="H18" s="1680"/>
      <c r="I18" s="1681"/>
      <c r="O18" s="322"/>
      <c r="P18" s="322"/>
      <c r="Q18" s="322"/>
      <c r="R18" s="322"/>
      <c r="S18" s="322"/>
      <c r="T18" s="322"/>
      <c r="U18" s="322"/>
    </row>
    <row r="19" spans="2:21" ht="21" customHeight="1">
      <c r="B19" s="691" t="s">
        <v>326</v>
      </c>
      <c r="C19" s="691"/>
      <c r="D19" s="691"/>
      <c r="E19" s="691"/>
      <c r="F19" s="691"/>
      <c r="G19" s="601"/>
      <c r="H19" s="1831" t="s">
        <v>788</v>
      </c>
      <c r="I19" s="1832"/>
      <c r="O19" s="322"/>
      <c r="P19" s="322"/>
      <c r="Q19" s="322"/>
      <c r="R19" s="322"/>
      <c r="S19" s="322"/>
      <c r="T19" s="322"/>
      <c r="U19" s="322"/>
    </row>
    <row r="20" spans="2:21" ht="21" customHeight="1">
      <c r="B20" s="691"/>
      <c r="C20" s="691"/>
      <c r="D20" s="691"/>
      <c r="E20" s="691"/>
      <c r="F20" s="691"/>
      <c r="G20" s="690"/>
      <c r="H20" s="1840"/>
      <c r="I20" s="1841"/>
      <c r="O20" s="322"/>
      <c r="P20" s="322"/>
      <c r="Q20" s="322"/>
      <c r="R20" s="322"/>
      <c r="S20" s="322"/>
      <c r="T20" s="322"/>
      <c r="U20" s="322"/>
    </row>
    <row r="21" spans="2:21" ht="21" customHeight="1">
      <c r="B21" s="691"/>
      <c r="C21" s="691"/>
      <c r="D21" s="691"/>
      <c r="E21" s="691"/>
      <c r="F21" s="691"/>
      <c r="G21" s="690"/>
      <c r="H21" s="1840"/>
      <c r="I21" s="1841"/>
      <c r="O21" s="322"/>
      <c r="P21" s="322"/>
      <c r="Q21" s="322"/>
      <c r="R21" s="322"/>
      <c r="S21" s="322"/>
      <c r="T21" s="322"/>
      <c r="U21" s="322"/>
    </row>
    <row r="22" spans="2:21" ht="21" customHeight="1" thickBot="1">
      <c r="B22" s="691" t="str">
        <f>'KEY INPUTS'!D28</f>
        <v>Outstanding - December 31, 2019</v>
      </c>
      <c r="C22" s="691"/>
      <c r="D22" s="691"/>
      <c r="E22" s="691"/>
      <c r="F22" s="691"/>
      <c r="G22" s="1131">
        <f>+H17+H18-G19-G20-G21+H20+H21</f>
        <v>0</v>
      </c>
      <c r="H22" s="1833" t="s">
        <v>788</v>
      </c>
      <c r="I22" s="1834"/>
      <c r="O22" s="322"/>
      <c r="P22" s="322"/>
      <c r="Q22" s="322"/>
      <c r="R22" s="322"/>
      <c r="S22" s="322"/>
      <c r="T22" s="322"/>
      <c r="U22" s="322"/>
    </row>
    <row r="23" spans="2:21" ht="21" customHeight="1" thickBot="1">
      <c r="B23" s="1116"/>
      <c r="C23" s="1116"/>
      <c r="D23" s="1116"/>
      <c r="E23" s="1116"/>
      <c r="F23" s="1116"/>
      <c r="G23" s="1133">
        <f>SUM(G17:G22)</f>
        <v>0</v>
      </c>
      <c r="H23" s="1838">
        <f>SUM(H17:I22)</f>
        <v>0</v>
      </c>
      <c r="I23" s="1839"/>
    </row>
    <row r="24" spans="2:21" ht="21" customHeight="1" thickTop="1">
      <c r="B24" s="1384" t="str">
        <f>TEXT('KEY INPUTS'!D34+1,"0")&amp;" Bond Maturities - Capital Bonds"</f>
        <v>2020 Bond Maturities - Capital Bonds</v>
      </c>
      <c r="C24" s="1130"/>
      <c r="D24" s="1130"/>
      <c r="E24" s="1130"/>
      <c r="F24" s="1130"/>
      <c r="G24" s="1130"/>
      <c r="H24" s="1130"/>
      <c r="I24" s="1386"/>
      <c r="J24" s="451" t="s">
        <v>482</v>
      </c>
      <c r="K24" s="1715"/>
      <c r="L24" s="1715"/>
    </row>
    <row r="25" spans="2:21" ht="21" customHeight="1" thickBot="1">
      <c r="B25" s="1385" t="str">
        <f>TEXT('KEY INPUTS'!D34+1,"0")&amp;" Interest on Bonds"</f>
        <v>2020 Interest on Bonds</v>
      </c>
      <c r="C25" s="1234"/>
      <c r="D25" s="1234"/>
      <c r="E25" s="1234"/>
      <c r="F25" s="1234"/>
      <c r="G25" s="1259"/>
      <c r="H25" s="488" t="s">
        <v>482</v>
      </c>
      <c r="I25" s="608"/>
      <c r="J25" s="489"/>
      <c r="K25" s="1234"/>
      <c r="L25" s="1385" t="s">
        <v>3408</v>
      </c>
    </row>
    <row r="26" spans="2:21" ht="21" customHeight="1" thickTop="1"/>
    <row r="27" spans="2:21" ht="19.5" customHeight="1" thickBot="1">
      <c r="B27" s="1936" t="str">
        <f>"INTEREST  ON  BONDS  -  "&amp;UPPER('KEY INPUTS'!D53)&amp;"  UTILITY  BUDGET"</f>
        <v>INTEREST  ON  BONDS  -    UTILITY  BUDGET</v>
      </c>
      <c r="C27" s="1936"/>
      <c r="D27" s="1936"/>
      <c r="E27" s="1936"/>
      <c r="F27" s="1936"/>
      <c r="G27" s="1936"/>
      <c r="H27" s="1936"/>
      <c r="I27" s="1936"/>
      <c r="J27" s="1936"/>
      <c r="K27" s="1936"/>
      <c r="L27" s="1936"/>
    </row>
    <row r="28" spans="2:21" ht="21" customHeight="1" thickTop="1">
      <c r="B28" s="497" t="str">
        <f>TEXT('KEY INPUTS'!D34+1,"0")&amp;" Interest on Bonds (*Items)"</f>
        <v>2020 Interest on Bonds (*Items)</v>
      </c>
      <c r="C28" s="457"/>
      <c r="D28" s="457"/>
      <c r="E28" s="457"/>
      <c r="F28" s="457"/>
      <c r="G28" s="457"/>
      <c r="H28" s="457" t="s">
        <v>482</v>
      </c>
      <c r="I28" s="1232">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482</v>
      </c>
      <c r="I29" s="673"/>
      <c r="O29" s="464"/>
      <c r="P29" s="464"/>
      <c r="Q29" s="464"/>
      <c r="R29" s="464"/>
    </row>
    <row r="30" spans="2:21" ht="21" customHeight="1">
      <c r="B30" s="402"/>
      <c r="C30" s="402" t="s">
        <v>421</v>
      </c>
      <c r="D30" s="402"/>
      <c r="E30" s="402"/>
      <c r="F30" s="402"/>
      <c r="G30" s="402"/>
      <c r="H30" s="402" t="s">
        <v>482</v>
      </c>
      <c r="I30" s="1233">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482</v>
      </c>
      <c r="I31" s="673"/>
      <c r="O31" s="464"/>
      <c r="P31" s="464"/>
      <c r="Q31" s="464"/>
      <c r="R31" s="464"/>
    </row>
    <row r="32" spans="2:21" ht="21" customHeight="1">
      <c r="B32" s="406" t="str">
        <f>"Required Appropriation "&amp;TEXT('KEY INPUTS'!D34+1,"0")</f>
        <v>Required Appropriation 2020</v>
      </c>
      <c r="C32" s="402"/>
      <c r="D32" s="402"/>
      <c r="E32" s="402"/>
      <c r="F32" s="402"/>
      <c r="G32" s="402"/>
      <c r="H32" s="402"/>
      <c r="I32" s="922"/>
      <c r="J32" s="491" t="s">
        <v>482</v>
      </c>
      <c r="K32" s="1825">
        <f>+I30+I31</f>
        <v>0</v>
      </c>
      <c r="L32" s="1826"/>
      <c r="O32" s="464"/>
      <c r="P32" s="464"/>
      <c r="Q32" s="464"/>
      <c r="R32" s="464"/>
    </row>
    <row r="33" spans="2:12" ht="13.5" customHeight="1">
      <c r="B33" s="467"/>
      <c r="C33" s="467"/>
      <c r="D33" s="467"/>
      <c r="E33" s="467"/>
      <c r="F33" s="467"/>
      <c r="G33" s="467"/>
      <c r="H33" s="467"/>
      <c r="I33" s="467"/>
      <c r="J33" s="467"/>
      <c r="K33" s="495"/>
      <c r="L33" s="785"/>
    </row>
    <row r="34" spans="2:12" ht="13.5" customHeight="1">
      <c r="B34" s="467"/>
      <c r="C34" s="467"/>
      <c r="D34" s="467"/>
      <c r="E34" s="467"/>
      <c r="F34" s="467"/>
      <c r="G34" s="467"/>
      <c r="H34" s="467"/>
      <c r="I34" s="467"/>
      <c r="J34" s="467"/>
      <c r="K34" s="495"/>
      <c r="L34" s="785"/>
    </row>
    <row r="35" spans="2:12" ht="21" customHeight="1" thickBot="1">
      <c r="B35" s="1846" t="str">
        <f>"LIST  OF  BONDS  ISSUED  DURING  "&amp;TEXT('KEY INPUTS'!D34,"0")&amp;""</f>
        <v>LIST  OF  BONDS  ISSUED  DURING  2019</v>
      </c>
      <c r="C35" s="1846"/>
      <c r="D35" s="1846"/>
      <c r="E35" s="1846"/>
      <c r="F35" s="1846"/>
      <c r="G35" s="1846"/>
      <c r="H35" s="1846"/>
      <c r="I35" s="1846"/>
      <c r="J35" s="1846"/>
      <c r="K35" s="1846"/>
      <c r="L35" s="1846"/>
    </row>
    <row r="36" spans="2:12" ht="27" customHeight="1" thickTop="1" thickBot="1">
      <c r="B36" s="1777" t="s">
        <v>532</v>
      </c>
      <c r="C36" s="1777"/>
      <c r="D36" s="1777"/>
      <c r="E36" s="1777"/>
      <c r="F36" s="1777"/>
      <c r="G36" s="493" t="str">
        <f>TEXT('KEY INPUTS'!D34,"0")&amp;" Maturity"</f>
        <v>2019 Maturity</v>
      </c>
      <c r="H36" s="1837" t="s">
        <v>109</v>
      </c>
      <c r="I36" s="1778"/>
      <c r="J36" s="1842" t="s">
        <v>107</v>
      </c>
      <c r="K36" s="1843"/>
      <c r="L36" s="788"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234"/>
      <c r="C41" s="1234"/>
      <c r="D41" s="1234"/>
      <c r="E41" s="1234"/>
      <c r="F41" s="1387"/>
      <c r="G41" s="1133">
        <f>SUM(G37:G40)</f>
        <v>0</v>
      </c>
      <c r="H41" s="1821">
        <f>SUM(H37:I40)</f>
        <v>0</v>
      </c>
      <c r="I41" s="1822"/>
      <c r="J41" s="1388"/>
      <c r="K41" s="1234"/>
      <c r="L41" s="1235"/>
    </row>
    <row r="42" spans="2:12" ht="13.8" thickTop="1">
      <c r="G42" s="784"/>
      <c r="H42" s="784"/>
      <c r="I42" s="784"/>
    </row>
    <row r="50" spans="2:12" ht="13.8">
      <c r="B50" s="1766" t="s">
        <v>3446</v>
      </c>
      <c r="C50" s="1766"/>
      <c r="D50" s="1766"/>
      <c r="E50" s="1766"/>
      <c r="F50" s="1766"/>
      <c r="G50" s="1766"/>
      <c r="H50" s="1766"/>
      <c r="I50" s="1766"/>
      <c r="J50" s="1766"/>
      <c r="K50" s="1766"/>
      <c r="L50" s="1766"/>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3:M48"/>
  <sheetViews>
    <sheetView zoomScaleNormal="100" workbookViewId="0">
      <selection activeCell="B1" sqref="B1"/>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12" width="9.109375" style="322"/>
    <col min="13" max="13" width="10.33203125" style="322" bestFit="1" customWidth="1"/>
    <col min="14" max="16384" width="9.109375" style="322"/>
  </cols>
  <sheetData>
    <row r="3" spans="2:11" ht="22.8">
      <c r="B3" s="1564" t="s">
        <v>543</v>
      </c>
      <c r="C3" s="1564"/>
      <c r="D3" s="1564"/>
      <c r="E3" s="1564"/>
      <c r="F3" s="1564"/>
      <c r="G3" s="1564"/>
      <c r="H3" s="1564"/>
    </row>
    <row r="4" spans="2:11" ht="22.8">
      <c r="B4" s="1564" t="s">
        <v>697</v>
      </c>
      <c r="C4" s="1564"/>
      <c r="D4" s="1564"/>
      <c r="E4" s="1564"/>
      <c r="F4" s="1564"/>
      <c r="G4" s="1564"/>
      <c r="H4" s="1564"/>
    </row>
    <row r="5" spans="2:11" ht="17.399999999999999">
      <c r="B5" s="1565" t="s">
        <v>781</v>
      </c>
      <c r="C5" s="1565"/>
      <c r="D5" s="1565"/>
      <c r="E5" s="1565"/>
      <c r="F5" s="1565"/>
      <c r="G5" s="1565"/>
      <c r="H5" s="1565"/>
    </row>
    <row r="6" spans="2:11" ht="15.6">
      <c r="B6" s="1566" t="str">
        <f>'KEY INPUTS'!D44</f>
        <v>AS  AT  DECEMBER  31, 2019</v>
      </c>
      <c r="C6" s="1567"/>
      <c r="D6" s="1567"/>
      <c r="E6" s="1567"/>
      <c r="F6" s="1567"/>
      <c r="G6" s="1567"/>
      <c r="H6" s="1567"/>
    </row>
    <row r="7" spans="2:11" ht="13.8" thickBot="1">
      <c r="B7" s="855"/>
      <c r="C7" s="855"/>
      <c r="D7" s="855"/>
      <c r="E7" s="855"/>
      <c r="F7" s="855"/>
      <c r="G7" s="855"/>
      <c r="H7" s="855"/>
    </row>
    <row r="8" spans="2:11" ht="36" customHeight="1" thickTop="1" thickBot="1">
      <c r="B8" s="1568" t="s">
        <v>124</v>
      </c>
      <c r="C8" s="1569"/>
      <c r="D8" s="1569"/>
      <c r="E8" s="1569"/>
      <c r="F8" s="1570"/>
      <c r="G8" s="969" t="s">
        <v>125</v>
      </c>
      <c r="H8" s="970" t="s">
        <v>126</v>
      </c>
    </row>
    <row r="9" spans="2:11" ht="21" customHeight="1" thickTop="1">
      <c r="B9" s="856" t="s">
        <v>3532</v>
      </c>
      <c r="C9" s="841"/>
      <c r="D9" s="841"/>
      <c r="E9" s="841"/>
      <c r="F9" s="841"/>
      <c r="G9" s="842">
        <f>+'6.3-Trial Bal-Trust Fnds'!G44</f>
        <v>5664283.6099999994</v>
      </c>
      <c r="H9" s="843">
        <f>+'6.3-Trial Bal-Trust Fnds'!H44</f>
        <v>5664283.6099999994</v>
      </c>
      <c r="I9" s="743"/>
    </row>
    <row r="10" spans="2:11" ht="21" customHeight="1">
      <c r="B10" s="845" t="s">
        <v>3531</v>
      </c>
      <c r="C10" s="640"/>
      <c r="D10" s="640"/>
      <c r="E10" s="640"/>
      <c r="F10" s="640"/>
      <c r="G10" s="844"/>
      <c r="H10" s="664"/>
    </row>
    <row r="11" spans="2:11" ht="21" customHeight="1">
      <c r="B11" s="566"/>
      <c r="C11" s="566"/>
      <c r="D11" s="566"/>
      <c r="E11" s="566"/>
      <c r="F11" s="566"/>
      <c r="G11" s="374"/>
      <c r="H11" s="578"/>
      <c r="I11" s="743"/>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5" t="s">
        <v>1001</v>
      </c>
      <c r="C44" s="640"/>
      <c r="D44" s="640"/>
      <c r="E44" s="640"/>
      <c r="F44" s="640"/>
      <c r="G44" s="844">
        <f>SUM(G9:G43)</f>
        <v>5664283.6099999994</v>
      </c>
      <c r="H44" s="853">
        <f>SUM(H9:H43)</f>
        <v>5664283.6099999994</v>
      </c>
    </row>
    <row r="45" spans="2:13">
      <c r="B45" s="1511" t="s">
        <v>127</v>
      </c>
      <c r="C45" s="1511"/>
      <c r="D45" s="1511"/>
      <c r="E45" s="1511"/>
      <c r="F45" s="1511"/>
      <c r="G45" s="1511"/>
      <c r="H45" s="1511"/>
    </row>
    <row r="46" spans="2:13">
      <c r="B46" s="965"/>
      <c r="C46" s="965"/>
      <c r="D46" s="965"/>
      <c r="E46" s="965"/>
      <c r="F46" s="965"/>
      <c r="G46" s="965"/>
      <c r="H46" s="965"/>
    </row>
    <row r="48" spans="2:13" ht="13.8">
      <c r="B48" s="1507" t="s">
        <v>3536</v>
      </c>
      <c r="C48" s="1507"/>
      <c r="D48" s="1507"/>
      <c r="E48" s="1507"/>
      <c r="F48" s="1507"/>
      <c r="G48" s="1507"/>
      <c r="H48" s="1507"/>
    </row>
  </sheetData>
  <sheetProtection algorithmName="SHA-512" hashValue="y5qXby7vbpEcT5qjn1i+gadI50kBQ8GKTqmrdY+Dn+Fi1wbq2wcQ4IJ+4KUv0RIVAbRVTON1UMso2YQfZPdeHQ==" saltValue="cnV+IVLDWX+JRmnRuJx+bw=="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89">
    <tabColor theme="3" tint="0.39997558519241921"/>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8"/>
      <c r="C1" s="1148"/>
      <c r="D1" s="1148"/>
      <c r="E1" s="1148"/>
      <c r="F1" s="1148"/>
      <c r="G1" s="1148"/>
      <c r="H1" s="1148"/>
      <c r="I1" s="1148"/>
      <c r="J1" s="1148"/>
      <c r="K1" s="1148"/>
      <c r="L1" s="1148"/>
    </row>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INPUTS'!D$53)&amp;"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474" t="str">
        <f>'KEY INPUTS'!D27</f>
        <v>Outstanding - January 1, 2019</v>
      </c>
      <c r="C7" s="415"/>
      <c r="D7" s="415"/>
      <c r="E7" s="415"/>
      <c r="F7" s="415"/>
      <c r="G7" s="1090" t="s">
        <v>788</v>
      </c>
      <c r="H7" s="1706"/>
      <c r="I7" s="1707"/>
      <c r="O7" s="322"/>
      <c r="P7" s="322"/>
      <c r="Q7" s="322"/>
      <c r="R7" s="322"/>
      <c r="S7" s="322"/>
      <c r="T7" s="322"/>
      <c r="U7" s="322"/>
    </row>
    <row r="8" spans="2:21" ht="21" customHeight="1">
      <c r="B8" s="402" t="s">
        <v>113</v>
      </c>
      <c r="C8" s="334"/>
      <c r="D8" s="334"/>
      <c r="E8" s="334"/>
      <c r="F8" s="334"/>
      <c r="G8" s="975" t="s">
        <v>788</v>
      </c>
      <c r="H8" s="1680"/>
      <c r="I8" s="1681"/>
      <c r="O8" s="377"/>
      <c r="P8" s="322"/>
      <c r="Q8" s="322"/>
      <c r="R8" s="322"/>
      <c r="S8" s="322"/>
      <c r="T8" s="322"/>
      <c r="U8" s="322"/>
    </row>
    <row r="9" spans="2:21" ht="21" customHeight="1">
      <c r="B9" s="402"/>
      <c r="C9" s="334"/>
      <c r="D9" s="334"/>
      <c r="E9" s="334"/>
      <c r="F9" s="334"/>
      <c r="G9" s="975"/>
      <c r="H9" s="1391"/>
      <c r="I9" s="1392"/>
      <c r="O9" s="322"/>
      <c r="P9" s="322"/>
      <c r="Q9" s="322"/>
      <c r="R9" s="322"/>
      <c r="S9" s="322"/>
      <c r="T9" s="322"/>
      <c r="U9" s="322"/>
    </row>
    <row r="10" spans="2:21" ht="21" customHeight="1">
      <c r="B10" s="402" t="s">
        <v>326</v>
      </c>
      <c r="C10" s="334"/>
      <c r="D10" s="334"/>
      <c r="E10" s="334"/>
      <c r="F10" s="334"/>
      <c r="G10" s="601"/>
      <c r="H10" s="1686" t="s">
        <v>788</v>
      </c>
      <c r="I10" s="1687"/>
      <c r="O10" s="322"/>
      <c r="P10" s="322"/>
      <c r="Q10" s="322"/>
      <c r="R10" s="322"/>
      <c r="S10" s="322"/>
      <c r="T10" s="322"/>
      <c r="U10" s="322"/>
    </row>
    <row r="11" spans="2:21" ht="21" customHeight="1" thickBot="1">
      <c r="B11" s="402" t="str">
        <f>'KEY INPUTS'!D28</f>
        <v>Outstanding - December 31, 2019</v>
      </c>
      <c r="C11" s="334"/>
      <c r="D11" s="334"/>
      <c r="E11" s="334"/>
      <c r="F11" s="334"/>
      <c r="G11" s="1091">
        <f>+H7+H8-G10</f>
        <v>0</v>
      </c>
      <c r="H11" s="1678" t="s">
        <v>788</v>
      </c>
      <c r="I11" s="1679"/>
      <c r="O11" s="322"/>
      <c r="P11" s="322"/>
      <c r="Q11" s="322"/>
      <c r="R11" s="322"/>
      <c r="S11" s="322"/>
      <c r="T11" s="322"/>
      <c r="U11" s="322"/>
    </row>
    <row r="12" spans="2:21" ht="21" customHeight="1" thickBot="1">
      <c r="B12" s="398"/>
      <c r="G12" s="1085">
        <f>SUM(G7:G11)</f>
        <v>0</v>
      </c>
      <c r="H12" s="1684">
        <f>SUM(H7:I11)</f>
        <v>0</v>
      </c>
      <c r="I12" s="1685"/>
      <c r="O12" s="322"/>
      <c r="P12" s="322"/>
      <c r="Q12" s="322"/>
      <c r="R12" s="322"/>
      <c r="S12" s="322"/>
      <c r="T12" s="322"/>
      <c r="U12" s="322"/>
    </row>
    <row r="13" spans="2:21" ht="21" customHeight="1" thickTop="1">
      <c r="B13" s="501" t="str">
        <f>TEXT('KEY INPUTS'!D34+1,"0")&amp;" Loan Maturities"</f>
        <v>2020 Loan Maturities</v>
      </c>
      <c r="C13" s="479"/>
      <c r="D13" s="479"/>
      <c r="E13" s="479"/>
      <c r="F13" s="479"/>
      <c r="G13" s="1393"/>
      <c r="H13" s="1393"/>
      <c r="I13" s="1394"/>
      <c r="J13" s="479" t="s">
        <v>482</v>
      </c>
      <c r="K13" s="1715"/>
      <c r="L13" s="171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5"/>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936" t="str">
        <f>UPPER('KEY INPUTS'!D$53)&amp;"  UTILITY"&amp;" ________________ LOAN"</f>
        <v xml:space="preserve">  UTILITY ________________ LOAN</v>
      </c>
      <c r="C16" s="1936"/>
      <c r="D16" s="1936"/>
      <c r="E16" s="1936"/>
      <c r="F16" s="1936"/>
      <c r="G16" s="1936"/>
      <c r="H16" s="1936"/>
      <c r="I16" s="1937"/>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O17" s="322"/>
      <c r="P17" s="322"/>
      <c r="Q17" s="322"/>
      <c r="R17" s="322"/>
      <c r="S17" s="322"/>
      <c r="T17" s="322"/>
      <c r="U17" s="322"/>
    </row>
    <row r="18" spans="2:21" ht="21" customHeight="1">
      <c r="B18" s="691" t="s">
        <v>113</v>
      </c>
      <c r="C18" s="1141"/>
      <c r="D18" s="1141"/>
      <c r="E18" s="1141"/>
      <c r="F18" s="1141"/>
      <c r="G18" s="975" t="s">
        <v>788</v>
      </c>
      <c r="H18" s="1680"/>
      <c r="I18" s="1681"/>
      <c r="O18" s="322"/>
      <c r="P18" s="322"/>
      <c r="Q18" s="322"/>
      <c r="R18" s="322"/>
      <c r="S18" s="322"/>
      <c r="T18" s="322"/>
      <c r="U18" s="322"/>
    </row>
    <row r="19" spans="2:21" ht="21" customHeight="1">
      <c r="B19" s="691" t="s">
        <v>326</v>
      </c>
      <c r="C19" s="1141"/>
      <c r="D19" s="1141"/>
      <c r="E19" s="1141"/>
      <c r="F19" s="1141"/>
      <c r="G19" s="601"/>
      <c r="H19" s="1686" t="s">
        <v>788</v>
      </c>
      <c r="I19" s="1687"/>
      <c r="O19" s="322"/>
      <c r="P19" s="322"/>
      <c r="Q19" s="322"/>
      <c r="R19" s="322"/>
      <c r="S19" s="322"/>
      <c r="T19" s="322"/>
      <c r="U19" s="322"/>
    </row>
    <row r="20" spans="2:21" ht="21" customHeight="1">
      <c r="B20" s="691"/>
      <c r="C20" s="1141"/>
      <c r="D20" s="1141"/>
      <c r="E20" s="1141"/>
      <c r="F20" s="1141"/>
      <c r="G20" s="1107"/>
      <c r="H20" s="1708"/>
      <c r="I20" s="1709"/>
      <c r="O20" s="322"/>
      <c r="P20" s="322"/>
      <c r="Q20" s="322"/>
      <c r="R20" s="322"/>
      <c r="S20" s="322"/>
      <c r="T20" s="322"/>
      <c r="U20" s="322"/>
    </row>
    <row r="21" spans="2:21" ht="21" customHeight="1">
      <c r="B21" s="691"/>
      <c r="C21" s="1141"/>
      <c r="D21" s="1141"/>
      <c r="E21" s="1141"/>
      <c r="F21" s="1141"/>
      <c r="G21" s="1107"/>
      <c r="H21" s="1708"/>
      <c r="I21" s="1709"/>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O22" s="322"/>
      <c r="P22" s="322"/>
      <c r="Q22" s="322"/>
      <c r="R22" s="322"/>
      <c r="S22" s="322"/>
      <c r="T22" s="322"/>
      <c r="U22" s="322"/>
    </row>
    <row r="23" spans="2:21" ht="21" customHeight="1" thickBot="1">
      <c r="B23" s="1116"/>
      <c r="C23" s="1148"/>
      <c r="D23" s="1148"/>
      <c r="E23" s="1148"/>
      <c r="F23" s="1148"/>
      <c r="G23" s="1085">
        <f>SUM(G17:G22)</f>
        <v>0</v>
      </c>
      <c r="H23" s="1684">
        <f>SUM(H17:I22)</f>
        <v>0</v>
      </c>
      <c r="I23" s="1685"/>
    </row>
    <row r="24" spans="2:21" ht="21" customHeight="1" thickTop="1">
      <c r="B24" s="501" t="str">
        <f>TEXT('KEY INPUTS'!D34+1,"0")&amp;" Loan Maturities"</f>
        <v>2020 Loan Maturities</v>
      </c>
      <c r="C24" s="479"/>
      <c r="D24" s="479"/>
      <c r="E24" s="479"/>
      <c r="F24" s="479"/>
      <c r="G24" s="479"/>
      <c r="H24" s="479"/>
      <c r="I24" s="515"/>
      <c r="J24" s="479" t="s">
        <v>482</v>
      </c>
      <c r="K24" s="1715"/>
      <c r="L24" s="1715"/>
    </row>
    <row r="25" spans="2:21" ht="21" customHeight="1" thickBot="1">
      <c r="B25" s="498" t="str">
        <f>TEXT('KEY INPUTS'!D34+1,"0")&amp;" Interest on Loans"</f>
        <v>2020 Interest on Loans</v>
      </c>
      <c r="C25" s="413"/>
      <c r="D25" s="413"/>
      <c r="E25" s="413"/>
      <c r="F25" s="413"/>
      <c r="G25" s="514"/>
      <c r="H25" s="1401" t="s">
        <v>482</v>
      </c>
      <c r="I25" s="608"/>
      <c r="J25" s="505"/>
      <c r="K25" s="413"/>
      <c r="L25" s="413"/>
    </row>
    <row r="26" spans="2:21" ht="21" customHeight="1" thickTop="1"/>
    <row r="27" spans="2:21" ht="19.5" customHeight="1" thickBot="1">
      <c r="B27" s="1936" t="str">
        <f>"INTEREST  ON  LOANS  - "&amp;UPPER('KEY INPUTS'!D53)&amp;"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415" t="s">
        <v>482</v>
      </c>
      <c r="I28" s="1395">
        <f>+I25+I14</f>
        <v>0</v>
      </c>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row>
    <row r="30" spans="2:21" ht="21" customHeight="1">
      <c r="B30" s="691"/>
      <c r="C30" s="691" t="s">
        <v>421</v>
      </c>
      <c r="D30" s="1141"/>
      <c r="E30" s="1141"/>
      <c r="F30" s="1141"/>
      <c r="G30" s="1141"/>
      <c r="H30" s="334" t="s">
        <v>482</v>
      </c>
      <c r="I30" s="1397">
        <f>+I28-I29</f>
        <v>0</v>
      </c>
    </row>
    <row r="31" spans="2:21" ht="21" customHeight="1">
      <c r="B31" s="916" t="str">
        <f>"Add: Interest to be Accrued as of "&amp;TEXT('KEY INPUTS'!D30,"mm/dd/yyyy")&amp;""</f>
        <v>Add: Interest to be Accrued as of 12/31/2020</v>
      </c>
      <c r="C31" s="691"/>
      <c r="D31" s="1141"/>
      <c r="E31" s="1141"/>
      <c r="F31" s="1141"/>
      <c r="G31" s="1141"/>
      <c r="H31" s="334" t="s">
        <v>482</v>
      </c>
      <c r="I31" s="600"/>
    </row>
    <row r="32" spans="2:21" ht="21" customHeight="1">
      <c r="B32" s="916" t="str">
        <f>"Required Appropriation "&amp;TEXT('KEY INPUTS'!D34+1,"0")</f>
        <v>Required Appropriation 2020</v>
      </c>
      <c r="C32" s="691"/>
      <c r="D32" s="1141"/>
      <c r="E32" s="1141"/>
      <c r="F32" s="1141"/>
      <c r="G32" s="1141"/>
      <c r="H32" s="334"/>
      <c r="I32" s="414"/>
      <c r="J32" s="506" t="s">
        <v>482</v>
      </c>
      <c r="K32" s="1940">
        <f>+I30+I31</f>
        <v>0</v>
      </c>
      <c r="L32" s="1941"/>
    </row>
    <row r="33" spans="2:12" ht="13.5" customHeight="1">
      <c r="B33" s="510"/>
      <c r="C33" s="510"/>
      <c r="D33" s="510"/>
      <c r="E33" s="510"/>
      <c r="F33" s="510"/>
      <c r="G33" s="510"/>
      <c r="H33" s="510"/>
      <c r="I33" s="510"/>
      <c r="J33" s="510"/>
      <c r="K33" s="509"/>
      <c r="L33" s="789"/>
    </row>
    <row r="34" spans="2:12" ht="13.5" customHeight="1">
      <c r="B34" s="510"/>
      <c r="C34" s="510"/>
      <c r="D34" s="510"/>
      <c r="E34" s="510"/>
      <c r="F34" s="510"/>
      <c r="G34" s="510"/>
      <c r="H34" s="510"/>
      <c r="I34" s="510"/>
      <c r="J34" s="510"/>
      <c r="K34" s="509"/>
      <c r="L34" s="789"/>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0">
    <tabColor theme="3"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17" t="s">
        <v>606</v>
      </c>
      <c r="C2" s="1817"/>
      <c r="D2" s="1817"/>
      <c r="E2" s="1817"/>
      <c r="F2" s="1817"/>
      <c r="G2" s="1817"/>
      <c r="H2" s="1817"/>
      <c r="I2" s="1817"/>
      <c r="J2" s="1817"/>
      <c r="K2" s="1817"/>
      <c r="L2" s="1817"/>
    </row>
    <row r="3" spans="2:21" ht="20.399999999999999">
      <c r="B3" s="1850" t="str">
        <f>"AND  "&amp;TEXT('KEY INPUTS'!D34+1,"0")&amp;"  DEBT  SERVICE  FOR  LOANS"</f>
        <v>AND  2020  DEBT  SERVICE  FOR  LOANS</v>
      </c>
      <c r="C3" s="1850"/>
      <c r="D3" s="1850"/>
      <c r="E3" s="1850"/>
      <c r="F3" s="1850"/>
      <c r="G3" s="1850"/>
      <c r="H3" s="1850"/>
      <c r="I3" s="1850"/>
      <c r="J3" s="1850"/>
      <c r="K3" s="1850"/>
      <c r="L3" s="1850"/>
    </row>
    <row r="4" spans="2:21" ht="15.6">
      <c r="B4" s="1762" t="str">
        <f>UPPER('KEY INPUTS'!D$53)&amp;"  UTILITY"&amp;" ________________ LOAN"</f>
        <v xml:space="preserve">  UTILITY ________________ LOAN</v>
      </c>
      <c r="C4" s="1762"/>
      <c r="D4" s="1762"/>
      <c r="E4" s="1762"/>
      <c r="F4" s="1762"/>
      <c r="G4" s="1762"/>
      <c r="H4" s="1762"/>
      <c r="I4" s="1762"/>
      <c r="J4" s="1762"/>
      <c r="K4" s="1762"/>
      <c r="L4" s="1762"/>
    </row>
    <row r="5" spans="2:21" ht="9.75" customHeight="1" thickBot="1">
      <c r="B5" s="809"/>
      <c r="C5" s="809"/>
      <c r="D5" s="809"/>
      <c r="E5" s="809"/>
      <c r="F5" s="809"/>
      <c r="G5" s="809"/>
      <c r="H5" s="809"/>
      <c r="I5" s="809"/>
      <c r="J5" s="809"/>
      <c r="K5" s="809"/>
      <c r="L5" s="809"/>
    </row>
    <row r="6" spans="2:21" ht="27.75" customHeight="1" thickTop="1" thickBot="1">
      <c r="B6" s="516"/>
      <c r="C6" s="516"/>
      <c r="D6" s="516"/>
      <c r="E6" s="516"/>
      <c r="F6" s="516"/>
      <c r="G6" s="410" t="s">
        <v>125</v>
      </c>
      <c r="H6" s="1852" t="s">
        <v>126</v>
      </c>
      <c r="I6" s="1853"/>
      <c r="J6" s="1835" t="str">
        <f>'KEY INPUTS'!D34&amp;" Debt
Service"</f>
        <v>2019 Debt
Service</v>
      </c>
      <c r="K6" s="1836"/>
      <c r="L6" s="1836"/>
      <c r="O6" s="322"/>
      <c r="P6" s="322"/>
      <c r="Q6" s="322"/>
      <c r="R6" s="322"/>
      <c r="S6" s="322"/>
      <c r="T6" s="322"/>
      <c r="U6" s="322"/>
    </row>
    <row r="7" spans="2:21" ht="21" customHeight="1" thickTop="1">
      <c r="B7" s="474" t="str">
        <f>'KEY INPUTS'!D27</f>
        <v>Outstanding - January 1, 2019</v>
      </c>
      <c r="C7" s="415"/>
      <c r="D7" s="415"/>
      <c r="E7" s="415"/>
      <c r="F7" s="415"/>
      <c r="G7" s="145" t="s">
        <v>788</v>
      </c>
      <c r="H7" s="1706"/>
      <c r="I7" s="1707"/>
      <c r="O7" s="322"/>
      <c r="P7" s="322"/>
      <c r="Q7" s="322"/>
      <c r="R7" s="322"/>
      <c r="S7" s="322"/>
      <c r="T7" s="322"/>
      <c r="U7" s="322"/>
    </row>
    <row r="8" spans="2:21" ht="21" customHeight="1">
      <c r="B8" s="402" t="s">
        <v>113</v>
      </c>
      <c r="C8" s="334"/>
      <c r="D8" s="334"/>
      <c r="E8" s="334"/>
      <c r="F8" s="334"/>
      <c r="G8" s="146" t="s">
        <v>788</v>
      </c>
      <c r="H8" s="1680"/>
      <c r="I8" s="1681"/>
      <c r="O8" s="377"/>
      <c r="P8" s="322"/>
      <c r="Q8" s="322"/>
      <c r="R8" s="322"/>
      <c r="S8" s="322"/>
      <c r="T8" s="322"/>
      <c r="U8" s="322"/>
    </row>
    <row r="9" spans="2:21" ht="21" customHeight="1">
      <c r="B9" s="402"/>
      <c r="C9" s="334"/>
      <c r="D9" s="334"/>
      <c r="E9" s="334"/>
      <c r="F9" s="334"/>
      <c r="G9" s="146"/>
      <c r="H9" s="1003"/>
      <c r="I9" s="1004"/>
      <c r="O9" s="322"/>
      <c r="P9" s="322"/>
      <c r="Q9" s="322"/>
      <c r="R9" s="322"/>
      <c r="S9" s="322"/>
      <c r="T9" s="322"/>
      <c r="U9" s="322"/>
    </row>
    <row r="10" spans="2:21" ht="21" customHeight="1">
      <c r="B10" s="402" t="s">
        <v>326</v>
      </c>
      <c r="C10" s="334"/>
      <c r="D10" s="334"/>
      <c r="E10" s="334"/>
      <c r="F10" s="334"/>
      <c r="G10" s="601"/>
      <c r="H10" s="1662" t="s">
        <v>788</v>
      </c>
      <c r="I10" s="1663"/>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64" t="s">
        <v>788</v>
      </c>
      <c r="I11" s="1665"/>
      <c r="O11" s="322"/>
      <c r="P11" s="322"/>
      <c r="Q11" s="322"/>
      <c r="R11" s="322"/>
      <c r="S11" s="322"/>
      <c r="T11" s="322"/>
      <c r="U11" s="322"/>
    </row>
    <row r="12" spans="2:21" ht="21" customHeight="1" thickBot="1">
      <c r="B12" s="398"/>
      <c r="G12" s="137">
        <f>SUM(G7:G11)</f>
        <v>0</v>
      </c>
      <c r="H12" s="1711">
        <f>SUM(H7:I11)</f>
        <v>0</v>
      </c>
      <c r="I12" s="1712"/>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482</v>
      </c>
      <c r="K13" s="1715"/>
      <c r="L13" s="1715"/>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482</v>
      </c>
      <c r="I14" s="675"/>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936" t="str">
        <f>UPPER('KEY INPUTS'!D$53)&amp;"  UTILITY"&amp;" ________________ LOAN"</f>
        <v xml:space="preserve">  UTILITY ________________ LOAN</v>
      </c>
      <c r="C16" s="1936"/>
      <c r="D16" s="1936"/>
      <c r="E16" s="1936"/>
      <c r="F16" s="1936"/>
      <c r="G16" s="1936"/>
      <c r="H16" s="1936"/>
      <c r="I16" s="1937"/>
      <c r="O16" s="322"/>
      <c r="P16" s="322"/>
      <c r="Q16" s="322"/>
      <c r="R16" s="322"/>
      <c r="S16" s="322"/>
      <c r="T16" s="322"/>
      <c r="U16" s="322"/>
    </row>
    <row r="17" spans="2:21" ht="21" customHeight="1" thickTop="1">
      <c r="B17" s="474" t="str">
        <f>'KEY INPUTS'!D27</f>
        <v>Outstanding - January 1, 2019</v>
      </c>
      <c r="C17" s="415"/>
      <c r="D17" s="415"/>
      <c r="E17" s="415"/>
      <c r="F17" s="415"/>
      <c r="G17" s="145" t="s">
        <v>788</v>
      </c>
      <c r="H17" s="1706"/>
      <c r="I17" s="1707"/>
      <c r="O17" s="322"/>
      <c r="P17" s="322"/>
      <c r="Q17" s="322"/>
      <c r="R17" s="322"/>
      <c r="S17" s="322"/>
      <c r="T17" s="322"/>
      <c r="U17" s="322"/>
    </row>
    <row r="18" spans="2:21" ht="21" customHeight="1">
      <c r="B18" s="402" t="s">
        <v>113</v>
      </c>
      <c r="C18" s="334"/>
      <c r="D18" s="334"/>
      <c r="E18" s="334"/>
      <c r="F18" s="334"/>
      <c r="G18" s="146" t="s">
        <v>788</v>
      </c>
      <c r="H18" s="1680"/>
      <c r="I18" s="1681"/>
      <c r="O18" s="322"/>
      <c r="P18" s="322"/>
      <c r="Q18" s="322"/>
      <c r="R18" s="322"/>
      <c r="S18" s="322"/>
      <c r="T18" s="322"/>
      <c r="U18" s="322"/>
    </row>
    <row r="19" spans="2:21" ht="21" customHeight="1">
      <c r="B19" s="402" t="s">
        <v>326</v>
      </c>
      <c r="C19" s="334"/>
      <c r="D19" s="334"/>
      <c r="E19" s="334"/>
      <c r="F19" s="334"/>
      <c r="G19" s="601"/>
      <c r="H19" s="1662" t="s">
        <v>788</v>
      </c>
      <c r="I19" s="1663"/>
      <c r="O19" s="322"/>
      <c r="P19" s="322"/>
      <c r="Q19" s="322"/>
      <c r="R19" s="322"/>
      <c r="S19" s="322"/>
      <c r="T19" s="322"/>
      <c r="U19" s="322"/>
    </row>
    <row r="20" spans="2:21" ht="21" customHeight="1">
      <c r="B20" s="402"/>
      <c r="C20" s="334"/>
      <c r="D20" s="334"/>
      <c r="E20" s="334"/>
      <c r="F20" s="334"/>
      <c r="G20" s="120"/>
      <c r="H20" s="1855"/>
      <c r="I20" s="1856"/>
      <c r="O20" s="322"/>
      <c r="P20" s="322"/>
      <c r="Q20" s="322"/>
      <c r="R20" s="322"/>
      <c r="S20" s="322"/>
      <c r="T20" s="322"/>
      <c r="U20" s="322"/>
    </row>
    <row r="21" spans="2:21" ht="21" customHeight="1">
      <c r="B21" s="402"/>
      <c r="C21" s="334"/>
      <c r="D21" s="334"/>
      <c r="E21" s="334"/>
      <c r="F21" s="334"/>
      <c r="G21" s="120"/>
      <c r="H21" s="1855"/>
      <c r="I21" s="1856"/>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64" t="s">
        <v>788</v>
      </c>
      <c r="I22" s="1665"/>
      <c r="O22" s="322"/>
      <c r="P22" s="322"/>
      <c r="Q22" s="322"/>
      <c r="R22" s="322"/>
      <c r="S22" s="322"/>
      <c r="T22" s="322"/>
      <c r="U22" s="322"/>
    </row>
    <row r="23" spans="2:21" ht="21" customHeight="1" thickBot="1">
      <c r="B23" s="398"/>
      <c r="G23" s="137">
        <f>SUM(G17:G22)</f>
        <v>0</v>
      </c>
      <c r="H23" s="1711">
        <f>SUM(H17:I22)</f>
        <v>0</v>
      </c>
      <c r="I23" s="1712"/>
    </row>
    <row r="24" spans="2:21" ht="21" customHeight="1" thickTop="1">
      <c r="B24" s="501" t="str">
        <f>TEXT('KEY INPUTS'!D34+1,"0")&amp;" Loan Maturities"</f>
        <v>2020 Loan Maturities</v>
      </c>
      <c r="C24" s="479"/>
      <c r="D24" s="479"/>
      <c r="E24" s="479"/>
      <c r="F24" s="479"/>
      <c r="G24" s="479"/>
      <c r="H24" s="479"/>
      <c r="I24" s="515"/>
      <c r="J24" s="479" t="s">
        <v>482</v>
      </c>
      <c r="K24" s="1715"/>
      <c r="L24" s="1715"/>
    </row>
    <row r="25" spans="2:21" ht="21" customHeight="1" thickBot="1">
      <c r="B25" s="498" t="str">
        <f>TEXT('KEY INPUTS'!D34+1,"0")&amp;" Interest on Loans"</f>
        <v>2020 Interest on Loans</v>
      </c>
      <c r="C25" s="413"/>
      <c r="D25" s="413"/>
      <c r="E25" s="413"/>
      <c r="F25" s="413"/>
      <c r="G25" s="514"/>
      <c r="H25" s="413" t="s">
        <v>482</v>
      </c>
      <c r="I25" s="608"/>
      <c r="J25" s="505"/>
      <c r="K25" s="413"/>
      <c r="L25" s="413"/>
    </row>
    <row r="26" spans="2:21" ht="21" customHeight="1" thickTop="1"/>
    <row r="27" spans="2:21" ht="19.5" customHeight="1" thickBot="1">
      <c r="B27" s="1936" t="str">
        <f>"INTEREST  ON  LOANS  - "&amp;UPPER('KEY INPUTS'!D53)&amp;"  UTILITY  BUDGET"</f>
        <v>INTEREST  ON  LOANS  -   UTILITY  BUDGET</v>
      </c>
      <c r="C27" s="1936"/>
      <c r="D27" s="1936"/>
      <c r="E27" s="1936"/>
      <c r="F27" s="1936"/>
      <c r="G27" s="1936"/>
      <c r="H27" s="1936"/>
      <c r="I27" s="1936"/>
      <c r="J27" s="1936"/>
      <c r="K27" s="1936"/>
      <c r="L27" s="1936"/>
    </row>
    <row r="28" spans="2:21" ht="21" customHeight="1" thickTop="1">
      <c r="B28" s="497" t="str">
        <f>TEXT('KEY INPUTS'!D34+1,"0")&amp;" Interest on Loans (*Items)"</f>
        <v>2020 Interest on Loans (*Items)</v>
      </c>
      <c r="C28" s="457"/>
      <c r="D28" s="415"/>
      <c r="E28" s="415"/>
      <c r="F28" s="415"/>
      <c r="G28" s="415"/>
      <c r="H28" s="415" t="s">
        <v>482</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482</v>
      </c>
      <c r="I29" s="600"/>
    </row>
    <row r="30" spans="2:21" ht="21" customHeight="1">
      <c r="B30" s="402"/>
      <c r="C30" s="402" t="s">
        <v>421</v>
      </c>
      <c r="D30" s="334"/>
      <c r="E30" s="334"/>
      <c r="F30" s="334"/>
      <c r="G30" s="334"/>
      <c r="H30" s="334" t="s">
        <v>482</v>
      </c>
      <c r="I30" s="512">
        <f>+I28-I29</f>
        <v>0</v>
      </c>
    </row>
    <row r="31" spans="2:21" ht="21" customHeight="1">
      <c r="B31" s="406" t="str">
        <f>"Add: Interest to be Accrued as of "&amp;TEXT('KEY INPUTS'!D30,"mm/dd/yyyy")&amp;""</f>
        <v>Add: Interest to be Accrued as of 12/31/2020</v>
      </c>
      <c r="C31" s="402"/>
      <c r="D31" s="334"/>
      <c r="E31" s="334"/>
      <c r="F31" s="334"/>
      <c r="G31" s="334"/>
      <c r="H31" s="334" t="s">
        <v>482</v>
      </c>
      <c r="I31" s="600"/>
    </row>
    <row r="32" spans="2:21" ht="21" customHeight="1">
      <c r="B32" s="406" t="str">
        <f>"Required Appropriation "&amp;TEXT('KEY INPUTS'!D34+1,"0")</f>
        <v>Required Appropriation 2020</v>
      </c>
      <c r="C32" s="402"/>
      <c r="D32" s="334"/>
      <c r="E32" s="334"/>
      <c r="F32" s="334"/>
      <c r="G32" s="334"/>
      <c r="H32" s="334"/>
      <c r="I32" s="911"/>
      <c r="J32" s="506" t="s">
        <v>482</v>
      </c>
      <c r="K32" s="1847">
        <f>+I30+I31</f>
        <v>0</v>
      </c>
      <c r="L32" s="1848"/>
    </row>
    <row r="33" spans="2:12" ht="13.5" customHeight="1">
      <c r="B33" s="510"/>
      <c r="C33" s="510"/>
      <c r="D33" s="510"/>
      <c r="E33" s="510"/>
      <c r="F33" s="510"/>
      <c r="G33" s="510"/>
      <c r="H33" s="510"/>
      <c r="I33" s="510"/>
      <c r="J33" s="510"/>
      <c r="K33" s="509"/>
      <c r="L33" s="1013"/>
    </row>
    <row r="34" spans="2:12" ht="13.5" customHeight="1">
      <c r="B34" s="510"/>
      <c r="C34" s="510"/>
      <c r="D34" s="510"/>
      <c r="E34" s="510"/>
      <c r="F34" s="510"/>
      <c r="G34" s="510"/>
      <c r="H34" s="510"/>
      <c r="I34" s="510"/>
      <c r="J34" s="510"/>
      <c r="K34" s="509"/>
      <c r="L34" s="1013"/>
    </row>
    <row r="35" spans="2:12" ht="21" customHeight="1" thickBot="1">
      <c r="B35" s="1846" t="str">
        <f>"LIST  OF  LOANS  ISSUED  DURING  "&amp;TEXT('KEY INPUTS'!D34,"0")&amp;""</f>
        <v>LIST  OF  LOANS  ISSUED  DURING  2019</v>
      </c>
      <c r="C35" s="1846"/>
      <c r="D35" s="1846"/>
      <c r="E35" s="1846"/>
      <c r="F35" s="1846"/>
      <c r="G35" s="1846"/>
      <c r="H35" s="1846"/>
      <c r="I35" s="1846"/>
      <c r="J35" s="1846"/>
      <c r="K35" s="1846"/>
      <c r="L35" s="1846"/>
    </row>
    <row r="36" spans="2:12" ht="27" customHeight="1" thickTop="1" thickBot="1">
      <c r="B36" s="1854" t="s">
        <v>532</v>
      </c>
      <c r="C36" s="1854"/>
      <c r="D36" s="1854"/>
      <c r="E36" s="1854"/>
      <c r="F36" s="1854"/>
      <c r="G36" s="493" t="str">
        <f>TEXT('KEY INPUTS'!D34,"0")&amp;" Maturity"</f>
        <v>2019 Maturity</v>
      </c>
      <c r="H36" s="1852" t="s">
        <v>109</v>
      </c>
      <c r="I36" s="1853"/>
      <c r="J36" s="1857" t="s">
        <v>107</v>
      </c>
      <c r="K36" s="1858"/>
      <c r="L36" s="1012"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413"/>
      <c r="C41" s="413"/>
      <c r="D41" s="413"/>
      <c r="E41" s="413"/>
      <c r="F41" s="412"/>
      <c r="G41" s="137">
        <f>SUM(G37:G40)</f>
        <v>0</v>
      </c>
      <c r="H41" s="1716">
        <f>SUM(H37:I40)</f>
        <v>0</v>
      </c>
      <c r="I41" s="1717"/>
      <c r="J41" s="505"/>
      <c r="K41" s="413"/>
      <c r="L41" s="417"/>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1">
    <tabColor theme="3" tint="0.39997558519241921"/>
  </sheetPr>
  <dimension ref="A1:V30"/>
  <sheetViews>
    <sheetView zoomScaleNormal="100" zoomScaleSheetLayoutView="80" workbookViewId="0">
      <selection activeCell="B1" sqref="B1"/>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6"/>
      <c r="C1" s="1116"/>
      <c r="D1" s="1116"/>
      <c r="E1" s="1116"/>
      <c r="F1" s="1116"/>
      <c r="G1" s="1116"/>
      <c r="H1" s="1116"/>
      <c r="I1" s="1116"/>
      <c r="J1" s="1116"/>
      <c r="K1" s="1116"/>
      <c r="L1" s="1116"/>
      <c r="M1" s="1116"/>
    </row>
    <row r="2" spans="1:22" ht="20.399999999999999">
      <c r="B2" s="1789" t="str">
        <f>"DEBT  SERVICE  FOR  "&amp;UPPER('KEY INPUTS'!D53)&amp;"  UTILITY  NOTES  (OTHER  THAN  UTILITY  ASSESSMENT  NOTES)"</f>
        <v>DEBT  SERVICE  FOR    UTILITY  NOTES  (OTHER  THAN  UTILITY  ASSESSMENT  NOTES)</v>
      </c>
      <c r="C2" s="1789"/>
      <c r="D2" s="1789"/>
      <c r="E2" s="1789"/>
      <c r="F2" s="1789"/>
      <c r="G2" s="1789"/>
      <c r="H2" s="1789"/>
      <c r="I2" s="1789"/>
      <c r="J2" s="1789"/>
      <c r="K2" s="1789"/>
      <c r="L2" s="1789"/>
      <c r="M2" s="1789"/>
    </row>
    <row r="3" spans="1:22" ht="21" thickBot="1">
      <c r="B3" s="1789"/>
      <c r="C3" s="1789"/>
      <c r="D3" s="1789"/>
      <c r="E3" s="1789"/>
      <c r="F3" s="1789"/>
      <c r="G3" s="1789"/>
      <c r="H3" s="1789"/>
      <c r="I3" s="1789"/>
      <c r="J3" s="1789"/>
      <c r="K3" s="1789"/>
      <c r="L3" s="1789"/>
      <c r="M3" s="1789"/>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45"/>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c r="B9" s="537" t="s">
        <v>384</v>
      </c>
      <c r="C9" s="676"/>
      <c r="D9" s="677"/>
      <c r="E9" s="618"/>
      <c r="F9" s="1470"/>
      <c r="G9" s="618"/>
      <c r="H9" s="679"/>
      <c r="I9" s="620"/>
      <c r="J9" s="618"/>
      <c r="K9" s="618"/>
      <c r="L9" s="629"/>
      <c r="M9" s="680"/>
      <c r="P9" s="322"/>
      <c r="Q9" s="322"/>
      <c r="R9" s="322"/>
      <c r="S9" s="322"/>
      <c r="T9" s="322"/>
      <c r="U9" s="322"/>
      <c r="V9" s="322"/>
    </row>
    <row r="10" spans="1:22" ht="21" customHeight="1">
      <c r="B10" s="536" t="s">
        <v>385</v>
      </c>
      <c r="C10" s="681"/>
      <c r="D10" s="652"/>
      <c r="E10" s="601"/>
      <c r="F10" s="1471"/>
      <c r="G10" s="601"/>
      <c r="H10" s="601"/>
      <c r="I10" s="683"/>
      <c r="J10" s="684"/>
      <c r="K10" s="601"/>
      <c r="L10" s="631"/>
      <c r="M10" s="685"/>
      <c r="N10" s="398" t="s">
        <v>3408</v>
      </c>
      <c r="O10" s="398" t="s">
        <v>3408</v>
      </c>
      <c r="P10" s="377"/>
      <c r="Q10" s="322"/>
      <c r="R10" s="322"/>
      <c r="S10" s="322"/>
      <c r="T10" s="322"/>
      <c r="U10" s="322"/>
      <c r="V10" s="322"/>
    </row>
    <row r="11" spans="1:22" ht="21" customHeight="1">
      <c r="B11" s="536" t="s">
        <v>386</v>
      </c>
      <c r="C11" s="648"/>
      <c r="D11" s="652"/>
      <c r="E11" s="601"/>
      <c r="F11" s="1472"/>
      <c r="G11" s="601"/>
      <c r="H11" s="601"/>
      <c r="I11" s="623"/>
      <c r="J11" s="601"/>
      <c r="K11" s="601"/>
      <c r="L11" s="631"/>
      <c r="M11" s="685"/>
      <c r="P11" s="322"/>
      <c r="Q11" s="322"/>
      <c r="R11" s="322"/>
      <c r="S11" s="322"/>
      <c r="T11" s="322"/>
      <c r="U11" s="322"/>
      <c r="V11" s="322"/>
    </row>
    <row r="12" spans="1:22" ht="21" customHeight="1">
      <c r="B12" s="536" t="s">
        <v>387</v>
      </c>
      <c r="C12" s="648"/>
      <c r="D12" s="652"/>
      <c r="E12" s="601"/>
      <c r="F12" s="1472"/>
      <c r="G12" s="601"/>
      <c r="H12" s="601"/>
      <c r="I12" s="623"/>
      <c r="J12" s="601"/>
      <c r="K12" s="601"/>
      <c r="L12" s="631"/>
      <c r="M12" s="685"/>
      <c r="P12" s="322"/>
      <c r="Q12" s="322"/>
      <c r="R12" s="322"/>
      <c r="S12" s="322"/>
      <c r="T12" s="322"/>
      <c r="U12" s="322"/>
      <c r="V12" s="322"/>
    </row>
    <row r="13" spans="1:22" ht="21" customHeight="1">
      <c r="B13" s="536" t="s">
        <v>388</v>
      </c>
      <c r="C13" s="648"/>
      <c r="D13" s="652"/>
      <c r="E13" s="601"/>
      <c r="F13" s="1472"/>
      <c r="G13" s="601"/>
      <c r="H13" s="601"/>
      <c r="I13" s="623"/>
      <c r="J13" s="601"/>
      <c r="K13" s="601"/>
      <c r="L13" s="631"/>
      <c r="M13" s="685"/>
      <c r="P13" s="322"/>
      <c r="Q13" s="322"/>
      <c r="R13" s="322"/>
      <c r="S13" s="322"/>
      <c r="T13" s="322"/>
      <c r="U13" s="322"/>
      <c r="V13" s="322"/>
    </row>
    <row r="14" spans="1:22" ht="21" customHeight="1">
      <c r="B14" s="536" t="s">
        <v>389</v>
      </c>
      <c r="C14" s="648"/>
      <c r="D14" s="652"/>
      <c r="E14" s="604"/>
      <c r="F14" s="1473"/>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1472"/>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1472"/>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1472"/>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0</v>
      </c>
      <c r="F18" s="693"/>
      <c r="G18" s="690">
        <f>SUM(G9:G17)</f>
        <v>0</v>
      </c>
      <c r="H18" s="690"/>
      <c r="I18" s="694"/>
      <c r="J18" s="690">
        <f>SUM(J9:J17)</f>
        <v>0</v>
      </c>
      <c r="K18" s="690">
        <f>SUM(K9:K17)</f>
        <v>0</v>
      </c>
      <c r="L18" s="695"/>
      <c r="M18" s="696"/>
      <c r="P18" s="322"/>
      <c r="Q18" s="322"/>
      <c r="R18" s="322"/>
      <c r="S18" s="322"/>
      <c r="T18" s="322"/>
      <c r="U18" s="322"/>
      <c r="V18" s="322"/>
    </row>
    <row r="19" spans="1:22" ht="21" customHeight="1">
      <c r="A19" s="535"/>
      <c r="B19" s="1354"/>
      <c r="C19" s="1194"/>
      <c r="D19" s="1194"/>
      <c r="E19" s="1355"/>
      <c r="F19" s="1194"/>
      <c r="G19" s="1355"/>
      <c r="H19" s="1355"/>
      <c r="I19" s="1356"/>
      <c r="J19" s="1355"/>
      <c r="K19" s="1355"/>
      <c r="L19" s="1355"/>
      <c r="M19" s="1194"/>
      <c r="P19" s="322"/>
      <c r="Q19" s="322"/>
      <c r="R19" s="322"/>
      <c r="S19" s="322"/>
      <c r="T19" s="322"/>
      <c r="U19" s="322"/>
      <c r="V19" s="322"/>
    </row>
    <row r="20" spans="1:22" ht="21" customHeight="1">
      <c r="A20" s="535"/>
      <c r="B20" s="1354"/>
      <c r="C20" s="1194"/>
      <c r="D20" s="1194"/>
      <c r="E20" s="1355"/>
      <c r="F20" s="1194"/>
      <c r="G20" s="1355"/>
      <c r="H20" s="1355"/>
      <c r="I20" s="1356"/>
      <c r="J20" s="1355"/>
      <c r="K20" s="1355"/>
      <c r="L20" s="1355"/>
      <c r="M20" s="1194"/>
      <c r="P20" s="322"/>
      <c r="Q20" s="322"/>
      <c r="R20" s="322"/>
      <c r="S20" s="322"/>
      <c r="T20" s="322"/>
      <c r="U20" s="322"/>
      <c r="V20" s="322"/>
    </row>
    <row r="21" spans="1:22" ht="13.5" customHeight="1" thickBot="1">
      <c r="B21" s="1357"/>
      <c r="C21" s="1358"/>
      <c r="D21" s="1359"/>
      <c r="E21" s="1194"/>
      <c r="F21" s="1194"/>
      <c r="G21" s="1194"/>
      <c r="H21" s="1194"/>
      <c r="I21" s="1194"/>
      <c r="J21" s="1360"/>
      <c r="K21" s="1194"/>
      <c r="L21" s="1194"/>
      <c r="M21" s="1194"/>
      <c r="P21" s="322"/>
      <c r="Q21" s="322"/>
      <c r="R21" s="322"/>
      <c r="S21" s="322"/>
      <c r="T21" s="322"/>
      <c r="U21" s="322"/>
      <c r="V21" s="322"/>
    </row>
    <row r="22" spans="1:22" ht="14.4" thickTop="1" thickBot="1">
      <c r="B22" s="1222" t="s">
        <v>44</v>
      </c>
      <c r="C22" s="1121"/>
      <c r="D22" s="1361"/>
      <c r="E22" s="1121"/>
      <c r="F22" s="1116"/>
      <c r="G22" s="1116"/>
      <c r="H22" s="1116"/>
      <c r="I22" s="1861" t="str">
        <f>"INTEREST  ON  NOTES  -  "&amp;UPPER('KEY INPUTS'!D53)&amp;" UTILITY  BUDGET"</f>
        <v>INTEREST  ON  NOTES  -   UTILITY  BUDGET</v>
      </c>
      <c r="J22" s="1862"/>
      <c r="K22" s="1862"/>
      <c r="L22" s="1862"/>
      <c r="M22" s="1863"/>
      <c r="P22" s="322"/>
      <c r="Q22" s="322"/>
      <c r="R22" s="322"/>
      <c r="S22" s="322"/>
      <c r="T22" s="322"/>
      <c r="U22" s="322"/>
      <c r="V22" s="322"/>
    </row>
    <row r="23" spans="1:22" ht="15.6" customHeight="1">
      <c r="B23" s="1362" t="s">
        <v>45</v>
      </c>
      <c r="C23" s="1362"/>
      <c r="D23" s="1222" t="s">
        <v>46</v>
      </c>
      <c r="E23" s="1121"/>
      <c r="F23" s="1116"/>
      <c r="G23" s="1116"/>
      <c r="H23" s="1116"/>
      <c r="I23" s="1363" t="str">
        <f>TEXT('KEY INPUTS'!D34+1,"0")&amp;"  Interest on Notes"</f>
        <v>2020  Interest on Notes</v>
      </c>
      <c r="J23" s="1193"/>
      <c r="K23" s="1193"/>
      <c r="L23" s="1364" t="s">
        <v>482</v>
      </c>
      <c r="M23" s="1236">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482</v>
      </c>
      <c r="M24" s="673"/>
      <c r="P24" s="322"/>
      <c r="Q24" s="322"/>
      <c r="R24" s="322"/>
      <c r="S24" s="322"/>
      <c r="T24" s="322"/>
      <c r="U24" s="322"/>
      <c r="V24" s="322"/>
    </row>
    <row r="25" spans="1:22" ht="15.6" customHeight="1">
      <c r="B25" s="472"/>
      <c r="C25" s="472"/>
      <c r="D25" s="472" t="s">
        <v>48</v>
      </c>
      <c r="E25" s="519"/>
      <c r="I25" s="491"/>
      <c r="J25" s="402" t="s">
        <v>421</v>
      </c>
      <c r="K25" s="402"/>
      <c r="L25" s="524" t="s">
        <v>482</v>
      </c>
      <c r="M25" s="308">
        <f>+M23-M24</f>
        <v>0</v>
      </c>
    </row>
    <row r="26" spans="1:22" ht="15.6" customHeight="1">
      <c r="B26" s="472"/>
      <c r="C26" s="472"/>
      <c r="D26" s="472" t="str">
        <f>"All notes with an original date of issue of 2016"&amp;" or prior require one legally payable installment to be budgeted if it"</f>
        <v>All notes with an original date of issue of 2016 or prior require one legally payable installment to be budgeted if it</v>
      </c>
      <c r="E26" s="519"/>
      <c r="I26" s="525" t="str">
        <f>"Add: Interest to be Accrued as of "&amp;TEXT('KEY INPUTS'!D29,"mm/dd/yyyy")&amp;""</f>
        <v>Add: Interest to be Accrued as of 12/31/2019</v>
      </c>
      <c r="J26" s="402"/>
      <c r="K26" s="402"/>
      <c r="L26" s="524" t="s">
        <v>482</v>
      </c>
      <c r="M26" s="673"/>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482</v>
      </c>
      <c r="M27" s="521">
        <f>+M25+M26</f>
        <v>0</v>
      </c>
    </row>
    <row r="28" spans="1:22" ht="13.8" thickTop="1">
      <c r="B28" s="472"/>
      <c r="C28" s="472"/>
      <c r="D28" s="472" t="s">
        <v>49</v>
      </c>
      <c r="E28" s="519"/>
    </row>
    <row r="29" spans="1:22">
      <c r="B29" s="519"/>
      <c r="C29" s="519"/>
      <c r="D29" s="520" t="s">
        <v>50</v>
      </c>
      <c r="E29" s="519"/>
    </row>
    <row r="30" spans="1:22">
      <c r="J30" s="518" t="s">
        <v>127</v>
      </c>
    </row>
  </sheetData>
  <sheetProtection algorithmName="SHA-512" hashValue="B/nji4rbiEY3c+4U5mWhk1H0SQBnihD+BU+Ivz4j2ReG7nhgoHL2iOgHBKQ05xX3Zz9K89cpl/69qgZIH5YhRw==" saltValue="mg8kx9X5vQQjYiJWBdo1W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2">
    <tabColor theme="3" tint="0.39997558519241921"/>
  </sheetPr>
  <dimension ref="A2: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789" t="str">
        <f>"DEBT  SERVICE  SCHEDULE  FOR  "&amp;UPPER('KEY INPUTS'!D53) &amp;"  UTILITY  ASSESSMENT  NOTES"</f>
        <v>DEBT  SERVICE  SCHEDULE  FOR    UTILITY  ASSESSMENT  NOTES</v>
      </c>
      <c r="C2" s="1789"/>
      <c r="D2" s="1789"/>
      <c r="E2" s="1789"/>
      <c r="F2" s="1789"/>
      <c r="G2" s="1789"/>
      <c r="H2" s="1789"/>
      <c r="I2" s="1789"/>
      <c r="J2" s="1789"/>
      <c r="K2" s="1789"/>
      <c r="L2" s="1789"/>
    </row>
    <row r="3" spans="1:20" ht="21" thickBot="1">
      <c r="B3" s="1871"/>
      <c r="C3" s="1871"/>
      <c r="D3" s="1871"/>
      <c r="E3" s="1871"/>
      <c r="F3" s="1871"/>
      <c r="G3" s="1871"/>
      <c r="H3" s="1871"/>
      <c r="I3" s="1871"/>
      <c r="J3" s="1871"/>
      <c r="K3" s="1871"/>
      <c r="L3" s="1871"/>
    </row>
    <row r="4" spans="1:20" ht="13.5" customHeight="1" thickTop="1">
      <c r="B4" s="1944"/>
      <c r="C4" s="1944"/>
      <c r="D4" s="1945"/>
      <c r="E4" s="1240"/>
      <c r="F4" s="1145"/>
      <c r="G4" s="1145"/>
      <c r="H4" s="1145"/>
      <c r="I4" s="1145"/>
      <c r="J4" s="1144"/>
      <c r="K4" s="1144"/>
      <c r="L4" s="1147"/>
    </row>
    <row r="5" spans="1:20" ht="13.5" customHeight="1">
      <c r="B5" s="1148"/>
      <c r="C5" s="1148"/>
      <c r="D5" s="1148"/>
      <c r="E5" s="1149" t="s">
        <v>176</v>
      </c>
      <c r="F5" s="1153" t="s">
        <v>176</v>
      </c>
      <c r="G5" s="1153" t="s">
        <v>533</v>
      </c>
      <c r="H5" s="1153" t="s">
        <v>18</v>
      </c>
      <c r="I5" s="1153" t="s">
        <v>685</v>
      </c>
      <c r="J5" s="1867">
        <f>'KEY INPUTS'!D33</f>
        <v>2020</v>
      </c>
      <c r="K5" s="1868"/>
      <c r="L5" s="1151" t="s">
        <v>686</v>
      </c>
    </row>
    <row r="6" spans="1:20" ht="13.5" customHeight="1">
      <c r="B6" s="1148"/>
      <c r="C6" s="1788" t="s">
        <v>175</v>
      </c>
      <c r="D6" s="1872"/>
      <c r="E6" s="1149" t="s">
        <v>533</v>
      </c>
      <c r="F6" s="1153" t="s">
        <v>177</v>
      </c>
      <c r="G6" s="1153" t="s">
        <v>682</v>
      </c>
      <c r="H6" s="1153" t="s">
        <v>683</v>
      </c>
      <c r="I6" s="1153" t="s">
        <v>683</v>
      </c>
      <c r="J6" s="1869"/>
      <c r="K6" s="1870"/>
      <c r="L6" s="1151" t="s">
        <v>689</v>
      </c>
    </row>
    <row r="7" spans="1:20" ht="13.5" customHeight="1">
      <c r="B7" s="1148"/>
      <c r="C7" s="1148"/>
      <c r="D7" s="1148"/>
      <c r="E7" s="1149" t="s">
        <v>113</v>
      </c>
      <c r="F7" s="1149" t="s">
        <v>178</v>
      </c>
      <c r="G7" s="1149" t="s">
        <v>257</v>
      </c>
      <c r="H7" s="1149" t="s">
        <v>684</v>
      </c>
      <c r="I7" s="1149" t="s">
        <v>686</v>
      </c>
      <c r="J7" s="1149" t="s">
        <v>142</v>
      </c>
      <c r="K7" s="1149" t="s">
        <v>687</v>
      </c>
      <c r="L7" s="1151" t="s">
        <v>690</v>
      </c>
      <c r="N7" s="322"/>
      <c r="O7" s="322"/>
      <c r="P7" s="322"/>
      <c r="Q7" s="322"/>
      <c r="R7" s="322"/>
      <c r="S7" s="322"/>
      <c r="T7" s="322"/>
    </row>
    <row r="8" spans="1:20" ht="13.5" customHeight="1" thickBot="1">
      <c r="B8" s="1155"/>
      <c r="C8" s="1155"/>
      <c r="D8" s="1155"/>
      <c r="E8" s="1156"/>
      <c r="F8" s="1156"/>
      <c r="G8" s="1366" t="str">
        <f>'KEY INPUTS'!D46</f>
        <v>Dec. 31, 2019</v>
      </c>
      <c r="H8" s="1156"/>
      <c r="I8" s="1156"/>
      <c r="J8" s="1157"/>
      <c r="K8" s="1257" t="s">
        <v>688</v>
      </c>
      <c r="L8" s="1159"/>
      <c r="N8" s="322"/>
      <c r="O8" s="322"/>
      <c r="P8" s="322"/>
      <c r="Q8" s="322"/>
      <c r="R8" s="322"/>
      <c r="S8" s="322"/>
      <c r="T8" s="322"/>
    </row>
    <row r="9" spans="1:20" ht="21" customHeight="1" thickTop="1">
      <c r="B9" s="1875"/>
      <c r="C9" s="1875"/>
      <c r="D9" s="1876"/>
      <c r="E9" s="605"/>
      <c r="F9" s="799"/>
      <c r="G9" s="605"/>
      <c r="H9" s="605"/>
      <c r="I9" s="800"/>
      <c r="J9" s="605"/>
      <c r="K9" s="605"/>
      <c r="L9" s="801"/>
      <c r="N9" s="377"/>
      <c r="O9" s="322"/>
      <c r="P9" s="322"/>
      <c r="Q9" s="322"/>
      <c r="R9" s="322"/>
      <c r="S9" s="322"/>
      <c r="T9" s="322"/>
    </row>
    <row r="10" spans="1:20" ht="21" customHeight="1">
      <c r="B10" s="1877"/>
      <c r="C10" s="1877"/>
      <c r="D10" s="1878"/>
      <c r="E10" s="601"/>
      <c r="F10" s="686"/>
      <c r="G10" s="601"/>
      <c r="H10" s="601"/>
      <c r="I10" s="623"/>
      <c r="J10" s="601"/>
      <c r="K10" s="601"/>
      <c r="L10" s="700"/>
      <c r="N10" s="322"/>
      <c r="O10" s="322"/>
      <c r="P10" s="322"/>
      <c r="Q10" s="322"/>
      <c r="R10" s="322"/>
      <c r="S10" s="322"/>
      <c r="T10" s="322"/>
    </row>
    <row r="11" spans="1:20" ht="21" customHeight="1">
      <c r="B11" s="1877"/>
      <c r="C11" s="1877"/>
      <c r="D11" s="1878"/>
      <c r="E11" s="601"/>
      <c r="F11" s="686"/>
      <c r="G11" s="601"/>
      <c r="H11" s="601"/>
      <c r="I11" s="623"/>
      <c r="J11" s="601"/>
      <c r="K11" s="601"/>
      <c r="L11" s="700"/>
      <c r="N11" s="322"/>
      <c r="O11" s="322"/>
      <c r="P11" s="322"/>
      <c r="Q11" s="322"/>
      <c r="R11" s="322"/>
      <c r="S11" s="322"/>
      <c r="T11" s="322"/>
    </row>
    <row r="12" spans="1:20" ht="21" customHeight="1">
      <c r="B12" s="1877"/>
      <c r="C12" s="1877"/>
      <c r="D12" s="1878"/>
      <c r="E12" s="601"/>
      <c r="F12" s="686"/>
      <c r="G12" s="601"/>
      <c r="H12" s="601"/>
      <c r="I12" s="623"/>
      <c r="J12" s="601"/>
      <c r="K12" s="601"/>
      <c r="L12" s="700"/>
      <c r="N12" s="322"/>
      <c r="O12" s="322"/>
      <c r="P12" s="322"/>
      <c r="Q12" s="322"/>
      <c r="R12" s="322"/>
      <c r="S12" s="322"/>
      <c r="T12" s="322"/>
    </row>
    <row r="13" spans="1:20" ht="21" customHeight="1">
      <c r="B13" s="1877"/>
      <c r="C13" s="1877"/>
      <c r="D13" s="1878"/>
      <c r="E13" s="601"/>
      <c r="F13" s="686"/>
      <c r="G13" s="601"/>
      <c r="H13" s="601"/>
      <c r="I13" s="623"/>
      <c r="J13" s="601"/>
      <c r="K13" s="601"/>
      <c r="L13" s="700"/>
      <c r="N13" s="322"/>
      <c r="O13" s="322"/>
      <c r="P13" s="322"/>
      <c r="Q13" s="322"/>
      <c r="R13" s="322"/>
      <c r="S13" s="322"/>
      <c r="T13" s="322"/>
    </row>
    <row r="14" spans="1:20" ht="21" customHeight="1">
      <c r="B14" s="1877"/>
      <c r="C14" s="1877"/>
      <c r="D14" s="1878"/>
      <c r="E14" s="604"/>
      <c r="F14" s="687"/>
      <c r="G14" s="604"/>
      <c r="H14" s="604"/>
      <c r="I14" s="626"/>
      <c r="J14" s="601"/>
      <c r="K14" s="601"/>
      <c r="L14" s="700"/>
      <c r="N14" s="322"/>
      <c r="O14" s="322"/>
      <c r="P14" s="322"/>
      <c r="Q14" s="322"/>
      <c r="R14" s="322"/>
      <c r="S14" s="322"/>
      <c r="T14" s="322"/>
    </row>
    <row r="15" spans="1:20" ht="21" customHeight="1">
      <c r="A15" s="1793" t="s">
        <v>3449</v>
      </c>
      <c r="B15" s="1877"/>
      <c r="C15" s="1877"/>
      <c r="D15" s="1878"/>
      <c r="E15" s="601"/>
      <c r="F15" s="686"/>
      <c r="G15" s="601"/>
      <c r="H15" s="601"/>
      <c r="I15" s="623"/>
      <c r="J15" s="601"/>
      <c r="K15" s="601"/>
      <c r="L15" s="700"/>
      <c r="N15" s="322"/>
      <c r="O15" s="322"/>
      <c r="P15" s="322"/>
      <c r="Q15" s="322"/>
      <c r="R15" s="322"/>
      <c r="S15" s="322"/>
      <c r="T15" s="322"/>
    </row>
    <row r="16" spans="1:20" ht="21" customHeight="1">
      <c r="A16" s="1793"/>
      <c r="B16" s="1877"/>
      <c r="C16" s="1877"/>
      <c r="D16" s="1878"/>
      <c r="E16" s="601"/>
      <c r="F16" s="686"/>
      <c r="G16" s="601"/>
      <c r="H16" s="601"/>
      <c r="I16" s="623"/>
      <c r="J16" s="601"/>
      <c r="K16" s="601"/>
      <c r="L16" s="700"/>
      <c r="N16" s="322"/>
      <c r="O16" s="322"/>
      <c r="P16" s="322"/>
      <c r="Q16" s="322"/>
      <c r="R16" s="322"/>
      <c r="S16" s="322"/>
      <c r="T16" s="322"/>
    </row>
    <row r="17" spans="1:20" ht="21" customHeight="1">
      <c r="A17" s="1793"/>
      <c r="B17" s="1877"/>
      <c r="C17" s="1877"/>
      <c r="D17" s="1878"/>
      <c r="E17" s="601"/>
      <c r="F17" s="686"/>
      <c r="G17" s="601"/>
      <c r="H17" s="601"/>
      <c r="I17" s="623"/>
      <c r="J17" s="601"/>
      <c r="K17" s="601"/>
      <c r="L17" s="700"/>
      <c r="N17" s="322"/>
      <c r="O17" s="322"/>
      <c r="P17" s="322"/>
      <c r="Q17" s="322"/>
      <c r="R17" s="322"/>
      <c r="S17" s="322"/>
      <c r="T17" s="322"/>
    </row>
    <row r="18" spans="1:20" ht="21" customHeight="1">
      <c r="A18" s="545"/>
      <c r="B18" s="1877"/>
      <c r="C18" s="1877"/>
      <c r="D18" s="1878"/>
      <c r="E18" s="601"/>
      <c r="F18" s="686"/>
      <c r="G18" s="601"/>
      <c r="H18" s="601"/>
      <c r="I18" s="623"/>
      <c r="J18" s="601"/>
      <c r="K18" s="601"/>
      <c r="L18" s="700"/>
      <c r="N18" s="322"/>
      <c r="O18" s="322"/>
      <c r="P18" s="322"/>
      <c r="Q18" s="322"/>
      <c r="R18" s="322"/>
      <c r="S18" s="322"/>
      <c r="T18" s="322"/>
    </row>
    <row r="19" spans="1:20" ht="21" customHeight="1">
      <c r="B19" s="1877"/>
      <c r="C19" s="1877"/>
      <c r="D19" s="1878"/>
      <c r="E19" s="601"/>
      <c r="F19" s="686"/>
      <c r="G19" s="601"/>
      <c r="H19" s="601"/>
      <c r="I19" s="623"/>
      <c r="J19" s="601"/>
      <c r="K19" s="601"/>
      <c r="L19" s="700"/>
      <c r="N19" s="322"/>
      <c r="O19" s="322"/>
      <c r="P19" s="322"/>
      <c r="Q19" s="322"/>
      <c r="R19" s="322"/>
      <c r="S19" s="322"/>
      <c r="T19" s="322"/>
    </row>
    <row r="20" spans="1:20" ht="21" customHeight="1">
      <c r="B20" s="1877"/>
      <c r="C20" s="1877"/>
      <c r="D20" s="1878"/>
      <c r="E20" s="601"/>
      <c r="F20" s="686"/>
      <c r="G20" s="601"/>
      <c r="H20" s="601"/>
      <c r="I20" s="623"/>
      <c r="J20" s="601"/>
      <c r="K20" s="601"/>
      <c r="L20" s="700"/>
      <c r="N20" s="322"/>
      <c r="O20" s="322"/>
      <c r="P20" s="322"/>
      <c r="Q20" s="322"/>
      <c r="R20" s="322"/>
      <c r="S20" s="322"/>
      <c r="T20" s="322"/>
    </row>
    <row r="21" spans="1:20" ht="21" customHeight="1">
      <c r="B21" s="1877"/>
      <c r="C21" s="1877"/>
      <c r="D21" s="1878"/>
      <c r="E21" s="601"/>
      <c r="F21" s="686"/>
      <c r="G21" s="601"/>
      <c r="H21" s="601"/>
      <c r="I21" s="623"/>
      <c r="J21" s="601"/>
      <c r="K21" s="601"/>
      <c r="L21" s="700"/>
      <c r="N21" s="322"/>
      <c r="O21" s="322"/>
      <c r="P21" s="322"/>
      <c r="Q21" s="322"/>
      <c r="R21" s="322"/>
      <c r="S21" s="322"/>
      <c r="T21" s="322"/>
    </row>
    <row r="22" spans="1:20" ht="21" customHeight="1">
      <c r="B22" s="1877"/>
      <c r="C22" s="1877"/>
      <c r="D22" s="1878"/>
      <c r="E22" s="601"/>
      <c r="F22" s="686"/>
      <c r="G22" s="601"/>
      <c r="H22" s="601"/>
      <c r="I22" s="623"/>
      <c r="J22" s="601"/>
      <c r="K22" s="601"/>
      <c r="L22" s="700"/>
      <c r="N22" s="322"/>
      <c r="O22" s="322"/>
      <c r="P22" s="322"/>
      <c r="Q22" s="322"/>
      <c r="R22" s="322"/>
      <c r="S22" s="322"/>
      <c r="T22" s="322"/>
    </row>
    <row r="23" spans="1:20" ht="21" customHeight="1" thickBot="1">
      <c r="B23" s="1374"/>
      <c r="C23" s="1234"/>
      <c r="D23" s="1259"/>
      <c r="E23" s="1133">
        <f>SUM(E9:E22)</f>
        <v>0</v>
      </c>
      <c r="F23" s="1248"/>
      <c r="G23" s="1133">
        <f>SUM(G9:G22)</f>
        <v>0</v>
      </c>
      <c r="H23" s="1133"/>
      <c r="I23" s="1133"/>
      <c r="J23" s="1133">
        <f>SUM(J9:J22)</f>
        <v>0</v>
      </c>
      <c r="K23" s="1133">
        <f>SUM(K9:K22)</f>
        <v>0</v>
      </c>
      <c r="L23" s="1260"/>
      <c r="N23" s="322"/>
      <c r="O23" s="322"/>
      <c r="P23" s="322"/>
      <c r="Q23" s="322"/>
      <c r="R23" s="322"/>
      <c r="S23" s="322"/>
      <c r="T23" s="322"/>
    </row>
    <row r="24" spans="1:20" ht="13.5" customHeight="1" thickTop="1">
      <c r="B24" s="1368" t="s">
        <v>44</v>
      </c>
      <c r="C24" s="1369"/>
      <c r="D24" s="1370"/>
      <c r="E24" s="1148"/>
      <c r="F24" s="1148"/>
      <c r="G24" s="1148"/>
      <c r="H24" s="1148"/>
      <c r="I24" s="1148"/>
      <c r="J24" s="1371"/>
      <c r="K24" s="1371"/>
      <c r="L24" s="1148"/>
    </row>
    <row r="25" spans="1:20" ht="13.5" customHeight="1">
      <c r="B25" s="1368" t="s">
        <v>694</v>
      </c>
      <c r="C25" s="1369"/>
      <c r="D25" s="1370"/>
      <c r="E25" s="1148"/>
      <c r="F25" s="1148"/>
      <c r="G25" s="1148"/>
      <c r="H25" s="1148"/>
      <c r="I25" s="1148"/>
      <c r="J25" s="1148"/>
      <c r="K25" s="1148"/>
      <c r="L25" s="1148"/>
    </row>
    <row r="26" spans="1:20" ht="13.5" customHeight="1">
      <c r="B26" s="1368"/>
      <c r="C26" s="136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70"/>
      <c r="E26" s="1148"/>
      <c r="F26" s="1148"/>
      <c r="G26" s="1148"/>
      <c r="H26" s="1148"/>
      <c r="I26" s="1148"/>
      <c r="J26" s="1148"/>
      <c r="K26" s="1148"/>
      <c r="L26" s="1148"/>
    </row>
    <row r="27" spans="1:20" ht="13.5" customHeight="1">
      <c r="B27" s="1368"/>
      <c r="C27" s="1369"/>
      <c r="D27" s="1372" t="s">
        <v>644</v>
      </c>
      <c r="E27" s="1148"/>
      <c r="F27" s="1148"/>
      <c r="G27" s="1148"/>
      <c r="H27" s="1148"/>
      <c r="I27" s="1148"/>
      <c r="J27" s="1148"/>
      <c r="K27" s="1148"/>
      <c r="L27" s="1148"/>
    </row>
    <row r="28" spans="1:20" ht="13.5" customHeight="1">
      <c r="B28" s="1368"/>
      <c r="C28" s="1369" t="s">
        <v>394</v>
      </c>
      <c r="D28" s="1370"/>
      <c r="E28" s="1148"/>
      <c r="F28" s="1148"/>
      <c r="G28" s="1148"/>
      <c r="H28" s="1148"/>
      <c r="I28" s="1148"/>
      <c r="J28" s="1373"/>
      <c r="K28" s="1148"/>
      <c r="L28" s="1148"/>
    </row>
    <row r="29" spans="1:20">
      <c r="B29" s="541"/>
      <c r="C29" s="411"/>
      <c r="D29" s="411"/>
    </row>
  </sheetData>
  <sheetProtection algorithmName="SHA-512" hashValue="pXKZ1VMu8dnaIIXS5MUC4/GprLQ1KBfl6NvPysUUb4zaPWjBGW1fEFq0wWhq4KUXxskimGXtpR+xrsyqVE2CxQ==" saltValue="tSeEaSqI8tSbAV01+jqu9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3">
    <tabColor theme="3" tint="0.39997558519241921"/>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9" t="str">
        <f>"SCHEDULE  OF  CAPITAL  LEASE  PROGRAM  OBLIGATIONS "&amp;UPPER('KEY INPUTS'!D53)&amp;"  UTILITY"</f>
        <v>SCHEDULE  OF  CAPITAL  LEASE  PROGRAM  OBLIGATIONS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944"/>
      <c r="C4" s="1944"/>
      <c r="D4" s="1944"/>
      <c r="E4" s="1944"/>
      <c r="F4" s="1945"/>
      <c r="G4" s="1268"/>
      <c r="H4" s="1144"/>
      <c r="I4" s="1269"/>
    </row>
    <row r="5" spans="1:18" ht="13.5" customHeight="1">
      <c r="B5" s="1148"/>
      <c r="C5" s="1148"/>
      <c r="D5" s="1148"/>
      <c r="E5" s="1143"/>
      <c r="F5" s="1143"/>
      <c r="G5" s="1153" t="s">
        <v>533</v>
      </c>
      <c r="H5" s="1946" t="str">
        <f>'KEY INPUTS'!D34+1&amp;" Budget Requirements"</f>
        <v>2020 Budget Requirements</v>
      </c>
      <c r="I5" s="1947"/>
      <c r="J5" s="776"/>
    </row>
    <row r="6" spans="1:18" ht="13.5" customHeight="1">
      <c r="B6" s="1148"/>
      <c r="C6" s="1788" t="s">
        <v>532</v>
      </c>
      <c r="D6" s="1788"/>
      <c r="E6" s="1143"/>
      <c r="F6" s="1143"/>
      <c r="G6" s="1153" t="s">
        <v>549</v>
      </c>
      <c r="H6" s="1948"/>
      <c r="I6" s="1949"/>
      <c r="J6" s="776"/>
    </row>
    <row r="7" spans="1:18" ht="13.5" customHeight="1">
      <c r="B7" s="1148"/>
      <c r="C7" s="1148"/>
      <c r="D7" s="1148"/>
      <c r="E7" s="1143"/>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875"/>
      <c r="C9" s="1875"/>
      <c r="D9" s="1875"/>
      <c r="E9" s="1875"/>
      <c r="F9" s="1876"/>
      <c r="G9" s="803"/>
      <c r="H9" s="605"/>
      <c r="I9" s="804"/>
      <c r="L9" s="377"/>
      <c r="M9" s="322"/>
      <c r="N9" s="322"/>
      <c r="O9" s="322"/>
      <c r="P9" s="322"/>
      <c r="Q9" s="322"/>
      <c r="R9" s="322"/>
    </row>
    <row r="10" spans="1:18" ht="21" customHeight="1">
      <c r="B10" s="1877"/>
      <c r="C10" s="1877"/>
      <c r="D10" s="1877"/>
      <c r="E10" s="1877"/>
      <c r="F10" s="1878"/>
      <c r="G10" s="631"/>
      <c r="H10" s="601"/>
      <c r="I10" s="602"/>
      <c r="L10" s="322"/>
      <c r="M10" s="322"/>
      <c r="N10" s="322"/>
      <c r="O10" s="322"/>
      <c r="P10" s="322"/>
      <c r="Q10" s="322"/>
      <c r="R10" s="322"/>
    </row>
    <row r="11" spans="1:18" ht="21" customHeight="1">
      <c r="B11" s="1877"/>
      <c r="C11" s="1877"/>
      <c r="D11" s="1877"/>
      <c r="E11" s="1877"/>
      <c r="F11" s="1878"/>
      <c r="G11" s="631"/>
      <c r="H11" s="601"/>
      <c r="I11" s="602"/>
      <c r="L11" s="322"/>
      <c r="M11" s="322"/>
      <c r="N11" s="322"/>
      <c r="O11" s="322"/>
      <c r="P11" s="322"/>
      <c r="Q11" s="322"/>
      <c r="R11" s="322"/>
    </row>
    <row r="12" spans="1:18" ht="21" customHeight="1">
      <c r="B12" s="1877"/>
      <c r="C12" s="1877"/>
      <c r="D12" s="1877"/>
      <c r="E12" s="1877"/>
      <c r="F12" s="1878"/>
      <c r="G12" s="631"/>
      <c r="H12" s="601"/>
      <c r="I12" s="602"/>
      <c r="L12" s="322"/>
      <c r="M12" s="322"/>
      <c r="N12" s="322"/>
      <c r="O12" s="322"/>
      <c r="P12" s="322"/>
      <c r="Q12" s="322"/>
      <c r="R12" s="322"/>
    </row>
    <row r="13" spans="1:18" ht="21" customHeight="1">
      <c r="B13" s="1877"/>
      <c r="C13" s="1877"/>
      <c r="D13" s="1877"/>
      <c r="E13" s="1877"/>
      <c r="F13" s="1878"/>
      <c r="G13" s="631"/>
      <c r="H13" s="601"/>
      <c r="I13" s="602"/>
      <c r="L13" s="322"/>
      <c r="M13" s="322"/>
      <c r="N13" s="322"/>
      <c r="O13" s="322"/>
      <c r="P13" s="322"/>
      <c r="Q13" s="322"/>
      <c r="R13" s="322"/>
    </row>
    <row r="14" spans="1:18" ht="21" customHeight="1">
      <c r="B14" s="1877"/>
      <c r="C14" s="1877"/>
      <c r="D14" s="1877"/>
      <c r="E14" s="1877"/>
      <c r="F14" s="1878"/>
      <c r="G14" s="632"/>
      <c r="H14" s="601"/>
      <c r="I14" s="602"/>
      <c r="L14" s="322"/>
      <c r="M14" s="322"/>
      <c r="N14" s="322"/>
      <c r="O14" s="322"/>
      <c r="P14" s="322"/>
      <c r="Q14" s="322"/>
      <c r="R14" s="322"/>
    </row>
    <row r="15" spans="1:18" ht="21" customHeight="1">
      <c r="A15" s="1793" t="s">
        <v>3450</v>
      </c>
      <c r="B15" s="1877"/>
      <c r="C15" s="1877"/>
      <c r="D15" s="1877"/>
      <c r="E15" s="1877"/>
      <c r="F15" s="1878"/>
      <c r="G15" s="631"/>
      <c r="H15" s="601"/>
      <c r="I15" s="602"/>
      <c r="L15" s="322"/>
      <c r="M15" s="322"/>
      <c r="N15" s="322"/>
      <c r="O15" s="322"/>
      <c r="P15" s="322"/>
      <c r="Q15" s="322"/>
      <c r="R15" s="322"/>
    </row>
    <row r="16" spans="1:18" ht="21" customHeight="1">
      <c r="A16" s="1793"/>
      <c r="B16" s="1877"/>
      <c r="C16" s="1877"/>
      <c r="D16" s="1877"/>
      <c r="E16" s="1877"/>
      <c r="F16" s="1878"/>
      <c r="G16" s="631"/>
      <c r="H16" s="601"/>
      <c r="I16" s="602"/>
      <c r="L16" s="322"/>
      <c r="M16" s="322"/>
      <c r="N16" s="322"/>
      <c r="O16" s="322"/>
      <c r="P16" s="322"/>
      <c r="Q16" s="322"/>
      <c r="R16" s="322"/>
    </row>
    <row r="17" spans="1:18" ht="21" customHeight="1">
      <c r="A17" s="1793"/>
      <c r="B17" s="1877"/>
      <c r="C17" s="1877"/>
      <c r="D17" s="1877"/>
      <c r="E17" s="1877"/>
      <c r="F17" s="1878"/>
      <c r="G17" s="631"/>
      <c r="H17" s="601"/>
      <c r="I17" s="602"/>
      <c r="L17" s="322"/>
      <c r="M17" s="322"/>
      <c r="N17" s="322"/>
      <c r="O17" s="322"/>
      <c r="P17" s="322"/>
      <c r="Q17" s="322"/>
      <c r="R17" s="322"/>
    </row>
    <row r="18" spans="1:18" ht="21" customHeight="1">
      <c r="A18" s="545"/>
      <c r="B18" s="1877"/>
      <c r="C18" s="1877"/>
      <c r="D18" s="1877"/>
      <c r="E18" s="1877"/>
      <c r="F18" s="1878"/>
      <c r="G18" s="631"/>
      <c r="H18" s="601"/>
      <c r="I18" s="602"/>
      <c r="L18" s="322"/>
      <c r="M18" s="322"/>
      <c r="N18" s="322"/>
      <c r="O18" s="322"/>
      <c r="P18" s="322"/>
      <c r="Q18" s="322"/>
      <c r="R18" s="322"/>
    </row>
    <row r="19" spans="1:18" ht="21" customHeight="1">
      <c r="B19" s="1877"/>
      <c r="C19" s="1877"/>
      <c r="D19" s="1877"/>
      <c r="E19" s="1877"/>
      <c r="F19" s="1878"/>
      <c r="G19" s="631"/>
      <c r="H19" s="601"/>
      <c r="I19" s="602"/>
      <c r="L19" s="322"/>
      <c r="M19" s="322"/>
      <c r="N19" s="322"/>
      <c r="O19" s="322"/>
      <c r="P19" s="322"/>
      <c r="Q19" s="322"/>
      <c r="R19" s="322"/>
    </row>
    <row r="20" spans="1:18" ht="21" customHeight="1">
      <c r="B20" s="1877"/>
      <c r="C20" s="1877"/>
      <c r="D20" s="1877"/>
      <c r="E20" s="1877"/>
      <c r="F20" s="1878"/>
      <c r="G20" s="631"/>
      <c r="H20" s="601"/>
      <c r="I20" s="602"/>
      <c r="L20" s="322"/>
      <c r="M20" s="322"/>
      <c r="N20" s="322"/>
      <c r="O20" s="322"/>
      <c r="P20" s="322"/>
      <c r="Q20" s="322"/>
      <c r="R20" s="322"/>
    </row>
    <row r="21" spans="1:18" ht="21" customHeight="1">
      <c r="B21" s="1877"/>
      <c r="C21" s="1877"/>
      <c r="D21" s="1877"/>
      <c r="E21" s="1877"/>
      <c r="F21" s="1878"/>
      <c r="G21" s="631"/>
      <c r="H21" s="601"/>
      <c r="I21" s="602"/>
      <c r="L21" s="322"/>
      <c r="M21" s="322"/>
      <c r="N21" s="322"/>
      <c r="O21" s="322"/>
      <c r="P21" s="322"/>
      <c r="Q21" s="322"/>
      <c r="R21" s="322"/>
    </row>
    <row r="22" spans="1:18" ht="21" customHeight="1" thickBot="1">
      <c r="B22" s="1877"/>
      <c r="C22" s="1877"/>
      <c r="D22" s="1877"/>
      <c r="E22" s="1877"/>
      <c r="F22" s="1878"/>
      <c r="G22" s="633"/>
      <c r="H22" s="627"/>
      <c r="I22" s="634"/>
      <c r="L22" s="322"/>
      <c r="M22" s="322"/>
      <c r="N22" s="322"/>
      <c r="O22" s="322"/>
      <c r="P22" s="322"/>
      <c r="Q22" s="322"/>
      <c r="R22" s="322"/>
    </row>
    <row r="23" spans="1:18" ht="21" customHeight="1" thickTop="1" thickBot="1">
      <c r="B23" s="1258"/>
      <c r="C23" s="1164"/>
      <c r="D23" s="1375" t="s">
        <v>174</v>
      </c>
      <c r="E23" s="1061"/>
      <c r="F23" s="1275"/>
      <c r="G23" s="1376">
        <f>SUM(G9:G22)</f>
        <v>0</v>
      </c>
      <c r="H23" s="1085">
        <f>SUM(H9:H22)</f>
        <v>0</v>
      </c>
      <c r="I23" s="1163">
        <f>SUM(I9:I22)</f>
        <v>0</v>
      </c>
      <c r="L23" s="322"/>
      <c r="M23" s="322"/>
      <c r="N23" s="322"/>
      <c r="O23" s="322"/>
      <c r="P23" s="322"/>
      <c r="Q23" s="322"/>
      <c r="R23" s="322"/>
    </row>
    <row r="24" spans="1:18" ht="13.5" customHeight="1" thickTop="1">
      <c r="B24" s="805"/>
      <c r="C24" s="411"/>
      <c r="D24" s="806"/>
      <c r="H24" s="504"/>
      <c r="I24" s="504"/>
    </row>
    <row r="25" spans="1:18" ht="13.5" customHeight="1">
      <c r="B25" s="805"/>
      <c r="C25" s="411"/>
      <c r="D25" s="806"/>
    </row>
    <row r="26" spans="1:18" ht="13.5" customHeight="1">
      <c r="B26" s="805"/>
      <c r="C26" s="411"/>
      <c r="D26" s="806"/>
      <c r="H26" s="802"/>
    </row>
    <row r="27" spans="1:18">
      <c r="B27" s="541"/>
      <c r="C27" s="411"/>
      <c r="D27" s="411"/>
    </row>
  </sheetData>
  <sheetProtection algorithmName="SHA-512" hashValue="qQhB53Sxo984DEbpZdvS12q+gn4dhZgM7VbMjX+pEJlGWM7EwNgfA16SBoSqkq37v9QK+tX3G3gyUvP8EDtBwg==" saltValue="RISz5bUwL4nnRNTH4qqkI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4">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INPUTS'!D53)&amp;"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698</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5">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INPUTS'!D53)&amp;"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+'52-Utility2'!E27</f>
        <v>0</v>
      </c>
      <c r="F9" s="1279">
        <f>+'52-Utility2'!F27</f>
        <v>0</v>
      </c>
      <c r="G9" s="1279">
        <f>+'52-Utility2'!G27</f>
        <v>0</v>
      </c>
      <c r="H9" s="1279">
        <f>+'52-Utility2'!H27</f>
        <v>0</v>
      </c>
      <c r="I9" s="1279">
        <f>+'52-Utility2'!I27</f>
        <v>0</v>
      </c>
      <c r="J9" s="1279">
        <f>+'52-Utility2'!J27</f>
        <v>0</v>
      </c>
      <c r="K9" s="1279">
        <f>+'52-Utility2'!K27</f>
        <v>0</v>
      </c>
      <c r="L9" s="1283">
        <f>+'52-Utility2'!L27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6">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INPUTS'!D53)&amp;"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+'52.1-Utility2'!E27</f>
        <v>0</v>
      </c>
      <c r="F9" s="1279">
        <f>+'52.1-Utility2'!F27</f>
        <v>0</v>
      </c>
      <c r="G9" s="1279">
        <f>+'52.1-Utility2'!G27</f>
        <v>0</v>
      </c>
      <c r="H9" s="1279">
        <f>+'52.1-Utility2'!H27</f>
        <v>0</v>
      </c>
      <c r="I9" s="1279">
        <f>+'52.1-Utility2'!I27</f>
        <v>0</v>
      </c>
      <c r="J9" s="1279">
        <f>+'52.1-Utility2'!J27</f>
        <v>0</v>
      </c>
      <c r="K9" s="1279">
        <f>+'52.1-Utility2'!K27</f>
        <v>0</v>
      </c>
      <c r="L9" s="1283">
        <f>+'52.1-Utility2'!L27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7">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INPUTS'!D53)&amp;"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+'52.2-Utility2'!E27</f>
        <v>0</v>
      </c>
      <c r="F9" s="1279">
        <f>+'52.2-Utility2'!F27</f>
        <v>0</v>
      </c>
      <c r="G9" s="1279">
        <f>+'52.2-Utility2'!G27</f>
        <v>0</v>
      </c>
      <c r="H9" s="1279">
        <f>+'52.2-Utility2'!H27</f>
        <v>0</v>
      </c>
      <c r="I9" s="1279">
        <f>+'52.2-Utility2'!I27</f>
        <v>0</v>
      </c>
      <c r="J9" s="1279">
        <f>+'52.2-Utility2'!J27</f>
        <v>0</v>
      </c>
      <c r="K9" s="1279">
        <f>+'52.2-Utility2'!K27</f>
        <v>0</v>
      </c>
      <c r="L9" s="1283">
        <f>+'52.2-Utility2'!L27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8">
    <tabColor theme="3"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 &amp;UPPER('KEY INPUTS'!D53)&amp;"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+'52.2-Utility2'!E27</f>
        <v>0</v>
      </c>
      <c r="F9" s="1279">
        <f>+'52.2-Utility2'!F27</f>
        <v>0</v>
      </c>
      <c r="G9" s="1279">
        <f>+'52.2-Utility2'!G27</f>
        <v>0</v>
      </c>
      <c r="H9" s="1279">
        <f>+'52.2-Utility2'!H27</f>
        <v>0</v>
      </c>
      <c r="I9" s="1279">
        <f>+'52.2-Utility2'!I27</f>
        <v>0</v>
      </c>
      <c r="J9" s="1279">
        <f>+'52.2-Utility2'!J27</f>
        <v>0</v>
      </c>
      <c r="K9" s="1279">
        <f>+'52.2-Utility2'!K27</f>
        <v>0</v>
      </c>
      <c r="L9" s="1283">
        <f>+'52.2-Utility2'!L27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3658</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1001</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B1:P87"/>
  <sheetViews>
    <sheetView workbookViewId="0">
      <selection activeCell="B14" sqref="B14"/>
    </sheetView>
  </sheetViews>
  <sheetFormatPr defaultRowHeight="13.2"/>
  <cols>
    <col min="1" max="2" width="4.6640625" customWidth="1"/>
    <col min="3" max="3" width="4.5546875" customWidth="1"/>
    <col min="4" max="4" width="4.6640625" customWidth="1"/>
  </cols>
  <sheetData>
    <row r="1" spans="2:13" ht="6" customHeight="1"/>
    <row r="2" spans="2:13" ht="18" customHeight="1">
      <c r="B2" s="1508" t="s">
        <v>1060</v>
      </c>
      <c r="C2" s="1508"/>
      <c r="D2" s="1508"/>
      <c r="E2" s="1508"/>
      <c r="F2" s="1508"/>
      <c r="G2" s="1508"/>
      <c r="H2" s="1508"/>
      <c r="I2" s="1508"/>
      <c r="J2" s="1508"/>
      <c r="K2" s="1508"/>
      <c r="L2" s="1508"/>
      <c r="M2" s="1508"/>
    </row>
    <row r="3" spans="2:13" ht="18" customHeight="1">
      <c r="B3" s="1508" t="str">
        <f>"ANNUAL  FINANCIAL  STATEMENT  OF   "&amp;TEXT('KEY INPUTS'!D34,"0")</f>
        <v>ANNUAL  FINANCIAL  STATEMENT  OF   2019</v>
      </c>
      <c r="C3" s="1508"/>
      <c r="D3" s="1508"/>
      <c r="E3" s="1508"/>
      <c r="F3" s="1508"/>
      <c r="G3" s="1508"/>
      <c r="H3" s="1508"/>
      <c r="I3" s="1508"/>
      <c r="J3" s="1508"/>
      <c r="K3" s="1508"/>
      <c r="L3" s="1508"/>
      <c r="M3" s="1508"/>
    </row>
    <row r="5" spans="2:13" ht="11.25" customHeight="1">
      <c r="B5" s="100"/>
      <c r="C5" s="100" t="s">
        <v>645</v>
      </c>
    </row>
    <row r="6" spans="2:13" ht="11.25" customHeight="1">
      <c r="B6" s="100" t="s">
        <v>1061</v>
      </c>
      <c r="C6" s="100"/>
    </row>
    <row r="7" spans="2:13" ht="11.25" customHeight="1">
      <c r="B7" s="100" t="s">
        <v>1062</v>
      </c>
      <c r="C7" s="100"/>
    </row>
    <row r="8" spans="2:13" ht="6" customHeight="1"/>
    <row r="9" spans="2:13" ht="11.25" customHeight="1">
      <c r="B9" s="100"/>
      <c r="C9" s="100" t="s">
        <v>1063</v>
      </c>
    </row>
    <row r="10" spans="2:13" ht="11.25" customHeight="1">
      <c r="B10" s="100" t="s">
        <v>1064</v>
      </c>
      <c r="C10" s="100"/>
    </row>
    <row r="11" spans="2:13" ht="11.25" customHeight="1">
      <c r="B11" s="100" t="s">
        <v>1065</v>
      </c>
      <c r="C11" s="100"/>
    </row>
    <row r="12" spans="2:13" ht="6" customHeight="1"/>
    <row r="13" spans="2:13" ht="11.25" customHeight="1">
      <c r="B13" s="100"/>
      <c r="C13" s="100" t="s">
        <v>888</v>
      </c>
    </row>
    <row r="14" spans="2:13" ht="11.25" customHeight="1">
      <c r="B14" s="100" t="s">
        <v>889</v>
      </c>
      <c r="C14" s="100"/>
    </row>
    <row r="15" spans="2:13" ht="8.25" customHeight="1"/>
    <row r="16" spans="2:13" ht="8.25" customHeight="1"/>
    <row r="17" spans="2:16" ht="13.5" customHeight="1">
      <c r="B17" s="1509" t="s">
        <v>890</v>
      </c>
      <c r="C17" s="1509"/>
      <c r="D17" s="1509"/>
      <c r="E17" s="1509"/>
      <c r="F17" s="1509"/>
      <c r="G17" s="1509"/>
      <c r="H17" s="1509"/>
      <c r="I17" s="1509"/>
      <c r="J17" s="1509"/>
      <c r="K17" s="1509"/>
      <c r="L17" s="1509"/>
      <c r="M17" s="1509"/>
    </row>
    <row r="18" spans="2:16" ht="4.5" customHeight="1"/>
    <row r="19" spans="2:16" ht="10.5" customHeight="1">
      <c r="B19" s="194" t="s">
        <v>891</v>
      </c>
      <c r="C19" s="194"/>
      <c r="D19" s="100" t="s">
        <v>892</v>
      </c>
    </row>
    <row r="20" spans="2:16" ht="10.5" customHeight="1">
      <c r="B20" s="194" t="s">
        <v>894</v>
      </c>
      <c r="C20" s="194"/>
      <c r="D20" s="100" t="s">
        <v>646</v>
      </c>
    </row>
    <row r="21" spans="2:16" ht="10.5" customHeight="1">
      <c r="B21" s="194" t="s">
        <v>893</v>
      </c>
      <c r="C21" s="194"/>
      <c r="D21" s="100" t="s">
        <v>647</v>
      </c>
    </row>
    <row r="22" spans="2:16" ht="10.5" customHeight="1">
      <c r="B22" s="194" t="s">
        <v>385</v>
      </c>
      <c r="C22" s="194"/>
      <c r="D22" s="100" t="s">
        <v>648</v>
      </c>
    </row>
    <row r="23" spans="2:16" ht="10.5" customHeight="1">
      <c r="B23" s="194" t="s">
        <v>3471</v>
      </c>
      <c r="C23" s="194"/>
      <c r="D23" s="100" t="s">
        <v>649</v>
      </c>
    </row>
    <row r="24" spans="2:16" ht="10.5" customHeight="1">
      <c r="B24" s="194" t="s">
        <v>387</v>
      </c>
      <c r="C24" s="194"/>
      <c r="D24" s="100" t="s">
        <v>650</v>
      </c>
      <c r="P24" s="285"/>
    </row>
    <row r="25" spans="2:16" ht="10.5" customHeight="1">
      <c r="B25" s="194" t="s">
        <v>388</v>
      </c>
      <c r="C25" s="194"/>
      <c r="D25" s="100" t="s">
        <v>651</v>
      </c>
    </row>
    <row r="26" spans="2:16" ht="10.5" customHeight="1">
      <c r="B26" s="194" t="s">
        <v>72</v>
      </c>
      <c r="C26" s="194"/>
      <c r="D26" s="100" t="s">
        <v>74</v>
      </c>
    </row>
    <row r="27" spans="2:16" ht="10.5" customHeight="1">
      <c r="B27" s="194" t="s">
        <v>895</v>
      </c>
      <c r="C27" s="194"/>
      <c r="D27" s="100" t="s">
        <v>611</v>
      </c>
    </row>
    <row r="28" spans="2:16" ht="10.5" customHeight="1">
      <c r="B28" s="194" t="s">
        <v>390</v>
      </c>
      <c r="C28" s="194"/>
      <c r="D28" s="100" t="s">
        <v>248</v>
      </c>
    </row>
    <row r="29" spans="2:16" ht="10.5" customHeight="1">
      <c r="B29" s="194" t="s">
        <v>501</v>
      </c>
      <c r="C29" s="194"/>
      <c r="D29" s="100" t="s">
        <v>136</v>
      </c>
    </row>
    <row r="30" spans="2:16" ht="10.5" customHeight="1">
      <c r="B30" s="194" t="s">
        <v>896</v>
      </c>
      <c r="C30" s="194"/>
      <c r="D30" s="100" t="s">
        <v>137</v>
      </c>
    </row>
    <row r="31" spans="2:16" ht="10.5" customHeight="1">
      <c r="B31" s="194" t="s">
        <v>503</v>
      </c>
      <c r="C31" s="194"/>
      <c r="D31" s="100" t="s">
        <v>592</v>
      </c>
    </row>
    <row r="32" spans="2:16" ht="10.5" customHeight="1">
      <c r="B32" s="194" t="s">
        <v>897</v>
      </c>
      <c r="C32" s="194"/>
      <c r="D32" s="100" t="s">
        <v>593</v>
      </c>
    </row>
    <row r="33" spans="2:4" ht="10.5" customHeight="1">
      <c r="B33" s="194" t="s">
        <v>290</v>
      </c>
      <c r="C33" s="194"/>
      <c r="D33" s="100" t="s">
        <v>594</v>
      </c>
    </row>
    <row r="34" spans="2:4" ht="10.5" customHeight="1">
      <c r="B34" s="194" t="s">
        <v>292</v>
      </c>
      <c r="C34" s="194"/>
      <c r="D34" s="100" t="s">
        <v>570</v>
      </c>
    </row>
    <row r="35" spans="2:4" ht="10.5" customHeight="1">
      <c r="B35" s="194" t="s">
        <v>720</v>
      </c>
      <c r="C35" s="194"/>
      <c r="D35" s="100" t="s">
        <v>595</v>
      </c>
    </row>
    <row r="36" spans="2:4" ht="10.5" customHeight="1">
      <c r="B36" s="194" t="s">
        <v>633</v>
      </c>
      <c r="C36" s="194"/>
      <c r="D36" s="100" t="s">
        <v>596</v>
      </c>
    </row>
    <row r="37" spans="2:4" ht="10.5" customHeight="1">
      <c r="B37" s="194" t="s">
        <v>504</v>
      </c>
      <c r="C37" s="194"/>
      <c r="D37" s="100" t="s">
        <v>597</v>
      </c>
    </row>
    <row r="38" spans="2:4" ht="10.5" customHeight="1">
      <c r="B38" s="194" t="s">
        <v>637</v>
      </c>
      <c r="C38" s="194"/>
      <c r="D38" s="100" t="s">
        <v>598</v>
      </c>
    </row>
    <row r="39" spans="2:4" ht="10.5" customHeight="1">
      <c r="B39" s="194" t="s">
        <v>1108</v>
      </c>
      <c r="C39" s="194"/>
      <c r="D39" s="100" t="s">
        <v>599</v>
      </c>
    </row>
    <row r="40" spans="2:4" ht="10.5" customHeight="1">
      <c r="B40" s="194" t="s">
        <v>1108</v>
      </c>
      <c r="C40" s="194"/>
      <c r="D40" s="100" t="s">
        <v>600</v>
      </c>
    </row>
    <row r="41" spans="2:4" ht="10.5" customHeight="1">
      <c r="B41" s="194" t="s">
        <v>1109</v>
      </c>
      <c r="C41" s="194"/>
      <c r="D41" s="100" t="str">
        <f>"Results of "&amp;TEXT('KEY INPUTS'!D34,"0")&amp;" Operation-Current Fund"</f>
        <v>Results of 2019 Operation-Current Fund</v>
      </c>
    </row>
    <row r="42" spans="2:4" ht="10.5" customHeight="1">
      <c r="B42" s="194" t="s">
        <v>1117</v>
      </c>
      <c r="C42" s="194"/>
      <c r="D42" s="100" t="s">
        <v>601</v>
      </c>
    </row>
    <row r="43" spans="2:4" ht="10.5" customHeight="1">
      <c r="B43" s="194" t="s">
        <v>1118</v>
      </c>
      <c r="C43" s="194"/>
      <c r="D43" s="100" t="s">
        <v>602</v>
      </c>
    </row>
    <row r="44" spans="2:4" ht="10.5" customHeight="1">
      <c r="B44" s="194" t="s">
        <v>1119</v>
      </c>
      <c r="C44" s="194"/>
      <c r="D44" s="100" t="s">
        <v>717</v>
      </c>
    </row>
    <row r="45" spans="2:4" ht="10.5" customHeight="1">
      <c r="B45" s="194" t="s">
        <v>505</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1120</v>
      </c>
      <c r="C46" s="194"/>
      <c r="D46" s="100" t="s">
        <v>718</v>
      </c>
    </row>
    <row r="47" spans="2:4" ht="10.5" customHeight="1">
      <c r="B47" s="194" t="s">
        <v>1121</v>
      </c>
      <c r="C47" s="194"/>
      <c r="D47" s="100" t="s">
        <v>207</v>
      </c>
    </row>
    <row r="48" spans="2:4" ht="10.5" customHeight="1">
      <c r="B48" s="194" t="s">
        <v>506</v>
      </c>
      <c r="C48" s="194"/>
      <c r="D48" s="100" t="s">
        <v>241</v>
      </c>
    </row>
    <row r="49" spans="2:10" ht="10.5" customHeight="1">
      <c r="B49" s="194" t="s">
        <v>507</v>
      </c>
      <c r="C49" s="194"/>
      <c r="D49" s="100" t="s">
        <v>242</v>
      </c>
    </row>
    <row r="50" spans="2:10" ht="10.5" customHeight="1">
      <c r="B50" s="194"/>
      <c r="C50" s="194"/>
      <c r="D50" s="100" t="s">
        <v>243</v>
      </c>
    </row>
    <row r="51" spans="2:10" ht="10.5" customHeight="1">
      <c r="B51" s="194" t="s">
        <v>508</v>
      </c>
      <c r="C51" s="194"/>
      <c r="D51" s="100" t="s">
        <v>244</v>
      </c>
    </row>
    <row r="52" spans="2:10" ht="10.5" customHeight="1">
      <c r="B52" s="194" t="s">
        <v>509</v>
      </c>
      <c r="C52" s="194"/>
      <c r="D52" s="100" t="s">
        <v>245</v>
      </c>
    </row>
    <row r="53" spans="2:10" ht="10.5" customHeight="1">
      <c r="B53" s="194" t="s">
        <v>510</v>
      </c>
      <c r="C53" s="194"/>
      <c r="D53" s="100" t="s">
        <v>246</v>
      </c>
      <c r="E53" s="100"/>
      <c r="F53" s="100"/>
      <c r="G53" s="100"/>
      <c r="H53" s="100"/>
      <c r="I53" s="100"/>
      <c r="J53" s="100"/>
    </row>
    <row r="54" spans="2:10" ht="10.5" customHeight="1">
      <c r="B54" s="194" t="s">
        <v>511</v>
      </c>
      <c r="C54" s="194"/>
      <c r="D54" s="100" t="s">
        <v>247</v>
      </c>
      <c r="E54" s="100"/>
      <c r="F54" s="100"/>
      <c r="G54" s="100"/>
      <c r="H54" s="100"/>
      <c r="I54" s="100"/>
      <c r="J54" s="100"/>
    </row>
    <row r="55" spans="2:10" ht="10.5" customHeight="1">
      <c r="B55" s="194"/>
      <c r="C55" s="194"/>
      <c r="D55" s="100" t="s">
        <v>738</v>
      </c>
      <c r="E55" s="100"/>
      <c r="F55" s="100"/>
      <c r="G55" s="100"/>
      <c r="H55" s="100"/>
      <c r="I55" s="100"/>
      <c r="J55" s="100"/>
    </row>
    <row r="56" spans="2:10" ht="10.5" customHeight="1">
      <c r="B56" s="194"/>
      <c r="C56" s="194"/>
      <c r="D56" s="100" t="s">
        <v>886</v>
      </c>
      <c r="E56" s="100"/>
      <c r="F56" s="100"/>
      <c r="G56" s="100"/>
      <c r="H56" s="100"/>
      <c r="I56" s="100"/>
      <c r="J56" s="100"/>
    </row>
    <row r="57" spans="2:10" ht="10.5" customHeight="1">
      <c r="B57" s="194" t="s">
        <v>512</v>
      </c>
      <c r="C57" s="194"/>
      <c r="D57" s="100" t="s">
        <v>520</v>
      </c>
      <c r="E57" s="100"/>
      <c r="F57" s="100"/>
      <c r="G57" s="100"/>
      <c r="H57" s="100"/>
      <c r="I57" s="100"/>
      <c r="J57" s="100"/>
    </row>
    <row r="58" spans="2:10" ht="10.5" customHeight="1">
      <c r="B58" s="194" t="s">
        <v>833</v>
      </c>
      <c r="C58" s="194"/>
      <c r="D58" s="100" t="s">
        <v>733</v>
      </c>
      <c r="E58" s="100"/>
      <c r="F58" s="100"/>
      <c r="G58" s="100"/>
      <c r="H58" s="100"/>
      <c r="I58" s="100"/>
      <c r="J58" s="100"/>
    </row>
    <row r="59" spans="2:10" ht="10.5" customHeight="1">
      <c r="B59" s="194" t="s">
        <v>513</v>
      </c>
      <c r="C59" s="194"/>
      <c r="D59" s="100" t="s">
        <v>734</v>
      </c>
      <c r="E59" s="100"/>
      <c r="F59" s="100"/>
      <c r="G59" s="100"/>
      <c r="H59" s="100"/>
      <c r="I59" s="100"/>
      <c r="J59" s="100"/>
    </row>
    <row r="60" spans="2:10" ht="10.5" customHeight="1">
      <c r="B60" s="194" t="s">
        <v>514</v>
      </c>
      <c r="C60" s="194"/>
      <c r="D60" s="100" t="s">
        <v>735</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515</v>
      </c>
      <c r="C62" s="194"/>
      <c r="D62" s="100" t="s">
        <v>736</v>
      </c>
      <c r="E62" s="100"/>
      <c r="F62" s="100"/>
      <c r="G62" s="100"/>
      <c r="H62" s="100"/>
      <c r="I62" s="100"/>
      <c r="J62" s="100"/>
    </row>
    <row r="63" spans="2:10" ht="10.5" customHeight="1">
      <c r="B63" s="194" t="s">
        <v>516</v>
      </c>
      <c r="C63" s="194"/>
      <c r="D63" s="100" t="s">
        <v>737</v>
      </c>
      <c r="E63" s="100"/>
      <c r="F63" s="100"/>
      <c r="G63" s="100"/>
      <c r="H63" s="100"/>
      <c r="I63" s="100"/>
      <c r="J63" s="100"/>
    </row>
    <row r="64" spans="2:10" ht="10.5" customHeight="1">
      <c r="B64" s="194" t="s">
        <v>517</v>
      </c>
      <c r="C64" s="194"/>
      <c r="D64" s="100" t="s">
        <v>265</v>
      </c>
      <c r="E64" s="100"/>
      <c r="F64" s="100"/>
      <c r="G64" s="100"/>
      <c r="H64" s="100"/>
      <c r="I64" s="100"/>
      <c r="J64" s="100"/>
    </row>
    <row r="65" spans="2:13" ht="10.5" customHeight="1">
      <c r="B65" s="194" t="s">
        <v>517</v>
      </c>
      <c r="C65" s="194"/>
      <c r="D65" s="100" t="str">
        <f>"Capital Improvements Authorized in  "&amp;TEXT('KEY INPUTS'!D34,"0")</f>
        <v>Capital Improvements Authorized in  2019</v>
      </c>
      <c r="E65" s="100"/>
      <c r="F65" s="100"/>
      <c r="G65" s="100"/>
      <c r="H65" s="100"/>
      <c r="I65" s="100"/>
      <c r="J65" s="100"/>
    </row>
    <row r="66" spans="2:13" ht="10.5" customHeight="1">
      <c r="B66" s="194" t="s">
        <v>518</v>
      </c>
      <c r="C66" s="194"/>
      <c r="D66" s="100" t="s">
        <v>739</v>
      </c>
      <c r="E66" s="100"/>
      <c r="F66" s="100"/>
      <c r="G66" s="100"/>
      <c r="H66" s="100"/>
      <c r="I66" s="100"/>
      <c r="J66" s="100"/>
    </row>
    <row r="67" spans="2:13" ht="10.5" customHeight="1">
      <c r="B67" s="194" t="s">
        <v>519</v>
      </c>
      <c r="C67" s="194"/>
      <c r="D67" s="100" t="s">
        <v>740</v>
      </c>
      <c r="E67" s="100"/>
      <c r="F67" s="100"/>
      <c r="G67" s="100"/>
      <c r="H67" s="100"/>
      <c r="I67" s="100"/>
      <c r="J67" s="100"/>
    </row>
    <row r="68" spans="2:13">
      <c r="B68" s="194"/>
      <c r="C68" s="194"/>
    </row>
    <row r="69" spans="2:13">
      <c r="B69" s="1510" t="s">
        <v>33</v>
      </c>
      <c r="C69" s="1510"/>
      <c r="D69" s="1510"/>
      <c r="E69" s="1510"/>
      <c r="F69" s="1510"/>
      <c r="G69" s="1510"/>
      <c r="H69" s="1510"/>
      <c r="I69" s="1510"/>
      <c r="J69" s="1510"/>
      <c r="K69" s="1510"/>
      <c r="L69" s="1510"/>
      <c r="M69" s="1510"/>
    </row>
    <row r="70" spans="2:13" ht="10.5" customHeight="1">
      <c r="B70" s="162" t="s">
        <v>521</v>
      </c>
      <c r="C70" s="162"/>
      <c r="D70" s="162" t="s">
        <v>32</v>
      </c>
      <c r="E70" s="210"/>
      <c r="F70" s="196"/>
      <c r="G70" s="196"/>
      <c r="H70" s="196"/>
      <c r="I70" s="196"/>
      <c r="J70" s="196"/>
      <c r="K70" s="196"/>
      <c r="L70" s="196"/>
      <c r="M70" s="196"/>
    </row>
    <row r="71" spans="2:13" ht="10.5" customHeight="1">
      <c r="B71" s="162" t="s">
        <v>523</v>
      </c>
      <c r="C71" s="162"/>
      <c r="D71" s="162" t="s">
        <v>741</v>
      </c>
      <c r="E71" s="210"/>
      <c r="F71" s="196"/>
      <c r="G71" s="196"/>
      <c r="H71" s="196"/>
      <c r="I71" s="196"/>
      <c r="J71" s="196"/>
      <c r="K71" s="196"/>
      <c r="L71" s="196"/>
      <c r="M71" s="196"/>
    </row>
    <row r="72" spans="2:13" ht="10.5" customHeight="1">
      <c r="B72" s="162" t="s">
        <v>524</v>
      </c>
      <c r="C72" s="162"/>
      <c r="D72" s="162" t="s">
        <v>742</v>
      </c>
      <c r="E72" s="210"/>
      <c r="F72" s="196"/>
      <c r="G72" s="196"/>
      <c r="H72" s="196"/>
      <c r="I72" s="196"/>
      <c r="J72" s="196"/>
      <c r="K72" s="196"/>
      <c r="L72" s="196"/>
      <c r="M72" s="196"/>
    </row>
    <row r="73" spans="2:13" ht="10.5" customHeight="1">
      <c r="B73" s="162" t="s">
        <v>525</v>
      </c>
      <c r="C73" s="162"/>
      <c r="D73" s="162" t="s">
        <v>743</v>
      </c>
      <c r="E73" s="210"/>
      <c r="F73" s="196"/>
      <c r="G73" s="196"/>
      <c r="H73" s="196"/>
      <c r="I73" s="196"/>
      <c r="J73" s="196"/>
      <c r="K73" s="196"/>
      <c r="L73" s="196"/>
      <c r="M73" s="196"/>
    </row>
    <row r="74" spans="2:13" ht="10.5" customHeight="1">
      <c r="B74" s="162" t="s">
        <v>527</v>
      </c>
      <c r="C74" s="162"/>
      <c r="D74" s="162" t="s">
        <v>744</v>
      </c>
      <c r="E74" s="210"/>
      <c r="F74" s="196"/>
      <c r="G74" s="196"/>
      <c r="H74" s="196"/>
      <c r="I74" s="196"/>
      <c r="J74" s="196"/>
      <c r="K74" s="196"/>
      <c r="L74" s="196"/>
      <c r="M74" s="196"/>
    </row>
    <row r="75" spans="2:13" ht="10.5" customHeight="1">
      <c r="B75" s="162" t="s">
        <v>526</v>
      </c>
      <c r="C75" s="162"/>
      <c r="D75" s="307" t="str">
        <f>TEXT('KEY INPUTS'!D34,"0")&amp;" Utility Operations"</f>
        <v>2019 Utility Operations</v>
      </c>
      <c r="E75" s="210"/>
      <c r="F75" s="196"/>
      <c r="G75" s="196"/>
      <c r="H75" s="196"/>
      <c r="I75" s="196"/>
      <c r="J75" s="196"/>
      <c r="K75" s="196"/>
      <c r="L75" s="196"/>
      <c r="M75" s="196"/>
    </row>
    <row r="76" spans="2:13" ht="10.5" customHeight="1">
      <c r="B76" s="162" t="s">
        <v>528</v>
      </c>
      <c r="C76" s="162"/>
      <c r="D76" s="162" t="s">
        <v>57</v>
      </c>
      <c r="E76" s="210"/>
      <c r="F76" s="196"/>
      <c r="G76" s="196"/>
      <c r="H76" s="196"/>
      <c r="I76" s="196"/>
      <c r="J76" s="196"/>
      <c r="K76" s="196"/>
      <c r="L76" s="196"/>
      <c r="M76" s="196"/>
    </row>
    <row r="77" spans="2:13" ht="10.5" customHeight="1">
      <c r="B77" s="162" t="s">
        <v>529</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834</v>
      </c>
      <c r="C80" s="162"/>
      <c r="D80" s="162" t="s">
        <v>835</v>
      </c>
      <c r="E80" s="210"/>
      <c r="F80" s="196"/>
      <c r="G80" s="196"/>
      <c r="H80" s="196"/>
      <c r="I80" s="196"/>
      <c r="J80" s="196"/>
      <c r="K80" s="196"/>
      <c r="L80" s="196"/>
      <c r="M80" s="196"/>
    </row>
    <row r="81" spans="2:13" ht="10.5" customHeight="1">
      <c r="B81" s="162" t="s">
        <v>27</v>
      </c>
      <c r="C81" s="162"/>
      <c r="D81" s="162" t="s">
        <v>745</v>
      </c>
      <c r="E81" s="210"/>
      <c r="F81" s="196"/>
      <c r="G81" s="196"/>
      <c r="H81" s="196"/>
      <c r="I81" s="196"/>
      <c r="J81" s="196"/>
      <c r="K81" s="196"/>
      <c r="L81" s="196"/>
      <c r="M81" s="196"/>
    </row>
    <row r="82" spans="2:13" ht="10.5" customHeight="1">
      <c r="B82" s="162" t="s">
        <v>28</v>
      </c>
      <c r="C82" s="162"/>
      <c r="D82" s="162" t="s">
        <v>746</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747</v>
      </c>
      <c r="E84" s="210"/>
      <c r="F84" s="196"/>
      <c r="G84" s="196"/>
      <c r="H84" s="196"/>
      <c r="I84" s="196"/>
      <c r="J84" s="196"/>
      <c r="K84" s="196"/>
      <c r="L84" s="196"/>
      <c r="M84" s="196"/>
    </row>
    <row r="85" spans="2:13" ht="10.5" customHeight="1">
      <c r="B85" s="195" t="s">
        <v>30</v>
      </c>
      <c r="C85" s="195"/>
      <c r="D85" s="195" t="s">
        <v>748</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3.8">
      <c r="B87" s="1507" t="s">
        <v>522</v>
      </c>
      <c r="C87" s="1507"/>
      <c r="D87" s="1507"/>
      <c r="E87" s="1507"/>
      <c r="F87" s="1507"/>
      <c r="G87" s="1507"/>
      <c r="H87" s="1507"/>
      <c r="I87" s="1507"/>
      <c r="J87" s="1507"/>
      <c r="K87" s="1507"/>
      <c r="L87" s="1507"/>
      <c r="M87" s="1507"/>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3:M55"/>
  <sheetViews>
    <sheetView zoomScaleNormal="100" workbookViewId="0">
      <selection activeCell="H10" sqref="H10"/>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9" width="10.33203125" style="322" bestFit="1" customWidth="1"/>
    <col min="10" max="12" width="9.109375" style="322"/>
    <col min="13" max="13" width="10.33203125" style="322" bestFit="1" customWidth="1"/>
    <col min="14" max="16384" width="9.109375" style="322"/>
  </cols>
  <sheetData>
    <row r="3" spans="2:11" ht="22.8">
      <c r="B3" s="1548" t="s">
        <v>543</v>
      </c>
      <c r="C3" s="1548"/>
      <c r="D3" s="1548"/>
      <c r="E3" s="1548"/>
      <c r="F3" s="1548"/>
      <c r="G3" s="1548"/>
      <c r="H3" s="1548"/>
    </row>
    <row r="4" spans="2:11" ht="22.8">
      <c r="B4" s="1548" t="s">
        <v>697</v>
      </c>
      <c r="C4" s="1548"/>
      <c r="D4" s="1548"/>
      <c r="E4" s="1548"/>
      <c r="F4" s="1548"/>
      <c r="G4" s="1548"/>
      <c r="H4" s="1548"/>
    </row>
    <row r="5" spans="2:11" ht="17.399999999999999">
      <c r="B5" s="1559" t="s">
        <v>781</v>
      </c>
      <c r="C5" s="1559"/>
      <c r="D5" s="1559"/>
      <c r="E5" s="1559"/>
      <c r="F5" s="1559"/>
      <c r="G5" s="1559"/>
      <c r="H5" s="1559"/>
    </row>
    <row r="6" spans="2:11" ht="15.6">
      <c r="B6" s="1555" t="str">
        <f>'KEY INPUTS'!D44</f>
        <v>AS  AT  DECEMBER  31, 2019</v>
      </c>
      <c r="C6" s="1509"/>
      <c r="D6" s="1509"/>
      <c r="E6" s="1509"/>
      <c r="F6" s="1509"/>
      <c r="G6" s="1509"/>
      <c r="H6" s="1509"/>
    </row>
    <row r="7" spans="2:11" ht="13.8" thickBot="1"/>
    <row r="8" spans="2:11" ht="36" customHeight="1" thickTop="1" thickBot="1">
      <c r="B8" s="1552" t="s">
        <v>124</v>
      </c>
      <c r="C8" s="1552"/>
      <c r="D8" s="1552"/>
      <c r="E8" s="1552"/>
      <c r="F8" s="1553"/>
      <c r="G8" s="4" t="s">
        <v>125</v>
      </c>
      <c r="H8" s="966" t="s">
        <v>126</v>
      </c>
    </row>
    <row r="9" spans="2:11" ht="21" customHeight="1" thickTop="1">
      <c r="B9" s="856" t="s">
        <v>3532</v>
      </c>
      <c r="C9" s="841"/>
      <c r="D9" s="841"/>
      <c r="E9" s="841"/>
      <c r="F9" s="841"/>
      <c r="G9" s="842">
        <f>+'6.4-Trial Bal-Trust Fnds'!G44</f>
        <v>5664283.6099999994</v>
      </c>
      <c r="H9" s="843">
        <f>+'6.4-Trial Bal-Trust Fnds'!H44</f>
        <v>5664283.6099999994</v>
      </c>
      <c r="I9" s="743"/>
    </row>
    <row r="10" spans="2:11" ht="21" customHeight="1">
      <c r="B10" s="845" t="s">
        <v>3531</v>
      </c>
      <c r="C10" s="640"/>
      <c r="D10" s="640"/>
      <c r="E10" s="640"/>
      <c r="F10" s="640"/>
      <c r="G10" s="844"/>
      <c r="H10" s="664"/>
    </row>
    <row r="11" spans="2:11" ht="21" customHeight="1">
      <c r="B11" s="566"/>
      <c r="C11" s="566"/>
      <c r="D11" s="566"/>
      <c r="E11" s="566"/>
      <c r="F11" s="566"/>
      <c r="G11" s="374"/>
      <c r="H11" s="578"/>
      <c r="I11" s="743"/>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5" t="s">
        <v>1001</v>
      </c>
      <c r="C44" s="640"/>
      <c r="D44" s="640"/>
      <c r="E44" s="640"/>
      <c r="F44" s="640"/>
      <c r="G44" s="844">
        <f>SUM(G9:G43)</f>
        <v>5664283.6099999994</v>
      </c>
      <c r="H44" s="853">
        <f>SUM(H9:H43)</f>
        <v>5664283.6099999994</v>
      </c>
    </row>
    <row r="45" spans="2:13">
      <c r="B45" s="1560" t="s">
        <v>127</v>
      </c>
      <c r="C45" s="1560"/>
      <c r="D45" s="1560"/>
      <c r="E45" s="1560"/>
      <c r="F45" s="1560"/>
      <c r="G45" s="1560"/>
      <c r="H45" s="1560"/>
    </row>
    <row r="46" spans="2:13">
      <c r="B46" s="967"/>
      <c r="C46" s="967"/>
      <c r="D46" s="967"/>
      <c r="E46" s="967"/>
      <c r="F46" s="967"/>
      <c r="G46" s="967"/>
      <c r="H46" s="967"/>
    </row>
    <row r="47" spans="2:13">
      <c r="B47" s="855"/>
      <c r="C47" s="855"/>
      <c r="D47" s="855"/>
      <c r="E47" s="855"/>
      <c r="F47" s="855"/>
      <c r="G47" s="855"/>
      <c r="H47" s="855"/>
    </row>
    <row r="48" spans="2:13" ht="13.8">
      <c r="B48" s="1561" t="s">
        <v>3538</v>
      </c>
      <c r="C48" s="1561"/>
      <c r="D48" s="1561"/>
      <c r="E48" s="1561"/>
      <c r="F48" s="1561"/>
      <c r="G48" s="1561"/>
      <c r="H48" s="1561"/>
    </row>
    <row r="55" spans="9:9">
      <c r="I55" s="325">
        <f>+G44-H44</f>
        <v>0</v>
      </c>
    </row>
  </sheetData>
  <sheetProtection algorithmName="SHA-512" hashValue="wySW8rYuFRzFWU6rWmcEPJVAZaoAtWwLZVgftSt0a1o0l8hqPMUAUXFCtxWK+cDGED5A493N0US00LvzJxLsiw==" saltValue="bWBUCkRGlc7gDZk99aD0AQ=="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99">
    <tabColor theme="3" tint="0.39997558519241921"/>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8"/>
      <c r="C1" s="1148"/>
      <c r="D1" s="1148"/>
      <c r="E1" s="1148"/>
      <c r="F1" s="1148"/>
      <c r="G1" s="1148"/>
      <c r="H1" s="1148"/>
      <c r="I1" s="1148"/>
      <c r="J1" s="1148"/>
    </row>
    <row r="2" spans="2:19">
      <c r="B2" s="1148"/>
      <c r="C2" s="1148"/>
      <c r="D2" s="1148"/>
      <c r="E2" s="1148"/>
      <c r="F2" s="1148"/>
      <c r="G2" s="1148"/>
      <c r="H2" s="1148"/>
      <c r="I2" s="1148"/>
      <c r="J2" s="1148"/>
    </row>
    <row r="3" spans="2:19" ht="22.8">
      <c r="B3" s="1760" t="str">
        <f>UPPER('KEY INPUTS'!D$53)&amp;" UTILITY  CAPITAL  FUND"</f>
        <v xml:space="preserve"> UTILITY  CAPITAL  FUND</v>
      </c>
      <c r="C3" s="1760"/>
      <c r="D3" s="1760"/>
      <c r="E3" s="1760"/>
      <c r="F3" s="1760"/>
      <c r="G3" s="1760"/>
      <c r="H3" s="1760"/>
      <c r="I3" s="1760"/>
      <c r="J3" s="1760"/>
    </row>
    <row r="4" spans="2:19">
      <c r="B4" s="1148"/>
      <c r="C4" s="1148"/>
      <c r="D4" s="1148"/>
      <c r="E4" s="1148"/>
      <c r="F4" s="1148"/>
      <c r="G4" s="1148"/>
      <c r="H4" s="1148"/>
      <c r="I4" s="1148"/>
      <c r="J4" s="1148"/>
    </row>
    <row r="5" spans="2:19" ht="15.6">
      <c r="B5" s="1784" t="s">
        <v>668</v>
      </c>
      <c r="C5" s="1784"/>
      <c r="D5" s="1784"/>
      <c r="E5" s="1784"/>
      <c r="F5" s="1784"/>
      <c r="G5" s="1784"/>
      <c r="H5" s="1784"/>
      <c r="I5" s="1784"/>
      <c r="J5" s="1784"/>
    </row>
    <row r="6" spans="2:19" ht="13.8" thickBot="1">
      <c r="B6" s="1148"/>
      <c r="C6" s="1148"/>
      <c r="D6" s="1148"/>
      <c r="E6" s="1148"/>
      <c r="F6" s="1148"/>
      <c r="G6" s="1148"/>
      <c r="H6" s="1148"/>
      <c r="I6" s="1148"/>
      <c r="J6" s="1148"/>
    </row>
    <row r="7" spans="2:19" ht="28.5" customHeight="1" thickTop="1" thickBot="1">
      <c r="B7" s="1390"/>
      <c r="C7" s="1390"/>
      <c r="D7" s="1390"/>
      <c r="E7" s="1390"/>
      <c r="F7" s="1390"/>
      <c r="G7" s="1390"/>
      <c r="H7" s="1390"/>
      <c r="I7" s="1136" t="s">
        <v>125</v>
      </c>
      <c r="J7" s="1137" t="s">
        <v>126</v>
      </c>
    </row>
    <row r="8" spans="2:19" ht="21" customHeight="1" thickTop="1">
      <c r="B8" s="1160" t="str">
        <f>'KEY INPUTS'!D25</f>
        <v>Balance - January 1, 2019</v>
      </c>
      <c r="C8" s="1160"/>
      <c r="D8" s="1160"/>
      <c r="E8" s="1160"/>
      <c r="F8" s="1160"/>
      <c r="G8" s="1160"/>
      <c r="H8" s="1402"/>
      <c r="I8" s="1090" t="s">
        <v>788</v>
      </c>
      <c r="J8" s="639"/>
    </row>
    <row r="9" spans="2:19" ht="21" customHeight="1">
      <c r="B9" s="1141" t="str">
        <f>"Received from "&amp;'KEY INPUTS'!D34&amp;" Budget Appropriation"</f>
        <v>Received from 2019 Budget Appropriation</v>
      </c>
      <c r="C9" s="1141"/>
      <c r="D9" s="1141"/>
      <c r="E9" s="1141"/>
      <c r="F9" s="1141"/>
      <c r="G9" s="1141"/>
      <c r="H9" s="1403"/>
      <c r="I9" s="975" t="s">
        <v>788</v>
      </c>
      <c r="J9" s="609"/>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1404" t="s">
        <v>224</v>
      </c>
      <c r="C11" s="1405"/>
      <c r="D11" s="1405"/>
      <c r="E11" s="1405"/>
      <c r="F11" s="1405"/>
      <c r="G11" s="1405"/>
      <c r="H11" s="1406"/>
      <c r="I11" s="1907" t="s">
        <v>788</v>
      </c>
      <c r="J11" s="1905"/>
      <c r="M11" s="377"/>
      <c r="N11" s="322"/>
      <c r="O11" s="322"/>
      <c r="P11" s="322"/>
      <c r="Q11" s="322"/>
      <c r="R11" s="322"/>
      <c r="S11" s="322"/>
    </row>
    <row r="12" spans="2:19" ht="12.75" customHeight="1">
      <c r="B12" s="1393"/>
      <c r="C12" s="1407" t="s">
        <v>225</v>
      </c>
      <c r="D12" s="1393"/>
      <c r="E12" s="1393"/>
      <c r="F12" s="1393"/>
      <c r="G12" s="1393"/>
      <c r="H12" s="140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1141" t="s">
        <v>229</v>
      </c>
      <c r="C22" s="1141"/>
      <c r="D22" s="1141"/>
      <c r="E22" s="1141"/>
      <c r="F22" s="1141"/>
      <c r="G22" s="1141"/>
      <c r="H22" s="1403"/>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1141" t="str">
        <f>'KEY INPUTS'!D26</f>
        <v>Balance - December 31, 2019</v>
      </c>
      <c r="C24" s="1141"/>
      <c r="D24" s="1141"/>
      <c r="E24" s="1141"/>
      <c r="F24" s="1141"/>
      <c r="G24" s="1141"/>
      <c r="H24" s="1403"/>
      <c r="I24" s="1108">
        <f>+SUM(J8:J13)-SUM(I13:I23)</f>
        <v>0</v>
      </c>
      <c r="J24" s="1106" t="s">
        <v>788</v>
      </c>
      <c r="M24" s="322"/>
      <c r="N24" s="322"/>
      <c r="O24" s="322"/>
      <c r="P24" s="322"/>
      <c r="Q24" s="322"/>
      <c r="R24" s="322"/>
      <c r="S24" s="322"/>
    </row>
    <row r="25" spans="2:19" ht="21" customHeight="1" thickTop="1" thickBot="1">
      <c r="B25" s="1148"/>
      <c r="C25" s="1148"/>
      <c r="D25" s="1148"/>
      <c r="E25" s="1148"/>
      <c r="F25" s="1148"/>
      <c r="G25" s="1148"/>
      <c r="H25" s="1148"/>
      <c r="I25" s="1063">
        <f>SUM(I8:I24)</f>
        <v>0</v>
      </c>
      <c r="J25" s="1109">
        <f>SUM(J8:J24)</f>
        <v>0</v>
      </c>
      <c r="M25" s="322"/>
      <c r="N25" s="322"/>
      <c r="O25" s="322"/>
      <c r="P25" s="322"/>
      <c r="Q25" s="322"/>
      <c r="R25" s="322"/>
      <c r="S25" s="322"/>
    </row>
    <row r="26" spans="2:19" ht="13.8" thickTop="1"/>
    <row r="30" spans="2:19" ht="22.8">
      <c r="B30" s="1760" t="str">
        <f>UPPER('KEY INPUTS'!D$53)&amp;" UTILITY  CAPITAL  FUND"</f>
        <v xml:space="preserve"> UTILITY  CAPITAL  FUND</v>
      </c>
      <c r="C30" s="1760"/>
      <c r="D30" s="1760"/>
      <c r="E30" s="1760"/>
      <c r="F30" s="1760"/>
      <c r="G30" s="1760"/>
      <c r="H30" s="1760"/>
      <c r="I30" s="1760"/>
      <c r="J30" s="1760"/>
    </row>
    <row r="31" spans="2:19" ht="7.5" customHeight="1">
      <c r="B31" s="1148"/>
      <c r="C31" s="1148"/>
      <c r="D31" s="1148"/>
      <c r="E31" s="1148"/>
      <c r="F31" s="1148"/>
      <c r="G31" s="1148"/>
      <c r="H31" s="1148"/>
      <c r="I31" s="1148"/>
      <c r="J31" s="1148"/>
    </row>
    <row r="32" spans="2:19" ht="15.6">
      <c r="B32" s="1784" t="s">
        <v>234</v>
      </c>
      <c r="C32" s="1784"/>
      <c r="D32" s="1784"/>
      <c r="E32" s="1784"/>
      <c r="F32" s="1784"/>
      <c r="G32" s="1784"/>
      <c r="H32" s="1784"/>
      <c r="I32" s="1784"/>
      <c r="J32" s="1784"/>
    </row>
    <row r="33" spans="2:10" ht="13.8" thickBot="1">
      <c r="B33" s="1148"/>
      <c r="C33" s="1148"/>
      <c r="D33" s="1148"/>
      <c r="E33" s="1148"/>
      <c r="F33" s="1148"/>
      <c r="G33" s="1148"/>
      <c r="H33" s="1148"/>
      <c r="I33" s="1148"/>
      <c r="J33" s="1148"/>
    </row>
    <row r="34" spans="2:10" ht="26.25" customHeight="1" thickTop="1" thickBot="1">
      <c r="B34" s="1390"/>
      <c r="C34" s="1390"/>
      <c r="D34" s="1390"/>
      <c r="E34" s="1390"/>
      <c r="F34" s="1390"/>
      <c r="G34" s="1390"/>
      <c r="H34" s="1390"/>
      <c r="I34" s="1136" t="s">
        <v>125</v>
      </c>
      <c r="J34" s="1137" t="s">
        <v>126</v>
      </c>
    </row>
    <row r="35" spans="2:10" ht="21" customHeight="1" thickTop="1">
      <c r="B35" s="1160" t="str">
        <f>'KEY INPUTS'!D25</f>
        <v>Balance - January 1, 2019</v>
      </c>
      <c r="C35" s="1160"/>
      <c r="D35" s="1160"/>
      <c r="E35" s="1160"/>
      <c r="F35" s="1160"/>
      <c r="G35" s="1160"/>
      <c r="H35" s="1402"/>
      <c r="I35" s="1090" t="s">
        <v>788</v>
      </c>
      <c r="J35" s="639"/>
    </row>
    <row r="36" spans="2:10" ht="21" customHeight="1">
      <c r="B36" s="1141" t="str">
        <f>"Received from "&amp;TEXT('KEY INPUTS'!D34,"0")&amp;" Budget Appropriation *"</f>
        <v>Received from 2019 Budget Appropriation *</v>
      </c>
      <c r="C36" s="1141"/>
      <c r="D36" s="1141"/>
      <c r="E36" s="1141"/>
      <c r="F36" s="1141"/>
      <c r="G36" s="1141"/>
      <c r="H36" s="1403"/>
      <c r="I36" s="975" t="s">
        <v>788</v>
      </c>
      <c r="J36" s="609"/>
    </row>
    <row r="37" spans="2:10" ht="21" customHeight="1">
      <c r="B37" s="1141" t="str">
        <f>"Received from "&amp;TEXT('KEY INPUTS'!D34,"0")&amp;" Emergency Appropriation *"</f>
        <v>Received from 2019 Emergency Appropriation *</v>
      </c>
      <c r="C37" s="1141"/>
      <c r="D37" s="1141"/>
      <c r="E37" s="1141"/>
      <c r="F37" s="1141"/>
      <c r="G37" s="1141"/>
      <c r="H37" s="1403"/>
      <c r="I37" s="975" t="s">
        <v>788</v>
      </c>
      <c r="J37" s="609"/>
    </row>
    <row r="38" spans="2:10" ht="21" customHeight="1">
      <c r="B38" s="669"/>
      <c r="C38" s="1284"/>
      <c r="D38" s="669"/>
      <c r="E38" s="1393"/>
      <c r="F38" s="1393"/>
      <c r="G38" s="1393"/>
      <c r="H38" s="1393"/>
      <c r="I38" s="684"/>
      <c r="J38" s="376"/>
    </row>
    <row r="39" spans="2:10" ht="21" customHeight="1">
      <c r="B39" s="1141" t="s">
        <v>229</v>
      </c>
      <c r="C39" s="1141"/>
      <c r="D39" s="1141"/>
      <c r="E39" s="1141"/>
      <c r="F39" s="1141"/>
      <c r="G39" s="1141"/>
      <c r="H39" s="1403"/>
      <c r="I39" s="601"/>
      <c r="J39" s="979" t="s">
        <v>788</v>
      </c>
    </row>
    <row r="40" spans="2:10" ht="21" customHeight="1">
      <c r="B40" s="648"/>
      <c r="C40" s="648"/>
      <c r="D40" s="648"/>
      <c r="E40" s="1141"/>
      <c r="F40" s="1141"/>
      <c r="G40" s="1141"/>
      <c r="H40" s="1141"/>
      <c r="I40" s="601"/>
      <c r="J40" s="979" t="s">
        <v>788</v>
      </c>
    </row>
    <row r="41" spans="2:10" ht="21" customHeight="1" thickBot="1">
      <c r="B41" s="1141" t="str">
        <f>'KEY INPUTS'!D26</f>
        <v>Balance - December 31, 2019</v>
      </c>
      <c r="C41" s="1141"/>
      <c r="D41" s="1141"/>
      <c r="E41" s="1141"/>
      <c r="F41" s="1141"/>
      <c r="G41" s="1141"/>
      <c r="H41" s="1403"/>
      <c r="I41" s="1285">
        <f>SUM(J35:J38)-SUM(I38:I40)</f>
        <v>0</v>
      </c>
      <c r="J41" s="1106" t="s">
        <v>788</v>
      </c>
    </row>
    <row r="42" spans="2:10" ht="21" customHeight="1" thickTop="1" thickBot="1">
      <c r="B42" s="1148"/>
      <c r="C42" s="1148"/>
      <c r="D42" s="1148"/>
      <c r="E42" s="1148"/>
      <c r="F42" s="1148"/>
      <c r="G42" s="1148"/>
      <c r="H42" s="1148"/>
      <c r="I42" s="1063">
        <f>SUM(I35:I41)</f>
        <v>0</v>
      </c>
      <c r="J42" s="1109">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nLmjRVbKoABvcTakxT9rNKMyXva+duts2ZqzP6YH34U37DiopO40JKJz7Z2AW3a5HICGrrdSebjyL8Ppmwn5IQ==" saltValue="eX7jxGZ7uKwyWXmLV+CpQ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0">
    <tabColor theme="3" tint="0.39997558519241921"/>
  </sheetPr>
  <dimension ref="B1:AC52"/>
  <sheetViews>
    <sheetView zoomScale="80" zoomScaleNormal="8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6"/>
      <c r="C1" s="1116"/>
      <c r="D1" s="1224"/>
      <c r="E1" s="1224"/>
      <c r="F1" s="1116"/>
      <c r="G1" s="1116"/>
      <c r="H1" s="1116"/>
      <c r="I1" s="1116"/>
      <c r="J1" s="1116"/>
    </row>
    <row r="2" spans="2:19">
      <c r="B2" s="1116"/>
      <c r="C2" s="1116"/>
      <c r="D2" s="1224"/>
      <c r="E2" s="1224"/>
      <c r="F2" s="1116"/>
      <c r="G2" s="1116"/>
      <c r="H2" s="1116"/>
      <c r="I2" s="1116"/>
      <c r="J2" s="1116"/>
    </row>
    <row r="3" spans="2:19" ht="24.6">
      <c r="B3" s="1950" t="str">
        <f>UPPER('KEY INPUTS'!D$53)&amp;" UTILITY  CAPITAL  FUND"</f>
        <v xml:space="preserve"> UTILITY  CAPITAL  FUND</v>
      </c>
      <c r="C3" s="1950"/>
      <c r="D3" s="1950"/>
      <c r="E3" s="1950"/>
      <c r="F3" s="1950"/>
      <c r="G3" s="1950"/>
      <c r="H3" s="1950"/>
      <c r="I3" s="1950"/>
      <c r="J3" s="1950"/>
    </row>
    <row r="4" spans="2:19">
      <c r="B4" s="1116"/>
      <c r="C4" s="1116"/>
      <c r="D4" s="1116"/>
      <c r="E4" s="1116"/>
      <c r="F4" s="1116"/>
      <c r="G4" s="1116"/>
      <c r="H4" s="1116"/>
      <c r="I4" s="1116"/>
      <c r="J4" s="1116"/>
    </row>
    <row r="5" spans="2:19" ht="17.399999999999999">
      <c r="B5" s="1806" t="str">
        <f>"CAPITAL  IMPROVEMENTS  AUTHORIZED  IN "&amp;TEXT('KEY INPUTS'!D34,"0")&amp;""</f>
        <v>CAPITAL  IMPROVEMENTS  AUTHORIZED  IN 2019</v>
      </c>
      <c r="C5" s="1806"/>
      <c r="D5" s="1806"/>
      <c r="E5" s="1806"/>
      <c r="F5" s="1806"/>
      <c r="G5" s="1806"/>
      <c r="H5" s="1806"/>
      <c r="I5" s="1806"/>
      <c r="J5" s="1806"/>
    </row>
    <row r="6" spans="2:19" ht="17.399999999999999">
      <c r="B6" s="1806" t="s">
        <v>261</v>
      </c>
      <c r="C6" s="1806"/>
      <c r="D6" s="1806"/>
      <c r="E6" s="1806"/>
      <c r="F6" s="1806"/>
      <c r="G6" s="1806"/>
      <c r="H6" s="1806"/>
      <c r="I6" s="1806"/>
      <c r="J6" s="1806"/>
    </row>
    <row r="7" spans="2:19" ht="13.8" thickBot="1">
      <c r="B7" s="1116"/>
      <c r="C7" s="1116"/>
      <c r="D7" s="1116"/>
      <c r="E7" s="1116"/>
      <c r="F7" s="1116"/>
      <c r="G7" s="1116"/>
      <c r="H7" s="1116"/>
      <c r="I7" s="1116"/>
      <c r="J7" s="1116"/>
    </row>
    <row r="8" spans="2:19" ht="13.8" thickTop="1">
      <c r="B8" s="1239"/>
      <c r="C8" s="1239"/>
      <c r="D8" s="1239"/>
      <c r="E8" s="1239"/>
      <c r="F8" s="1239"/>
      <c r="G8" s="1240"/>
      <c r="H8" s="1240"/>
      <c r="I8" s="1240"/>
      <c r="J8" s="1304" t="s">
        <v>307</v>
      </c>
    </row>
    <row r="9" spans="2:19">
      <c r="B9" s="1116"/>
      <c r="C9" s="1865" t="s">
        <v>532</v>
      </c>
      <c r="D9" s="1865"/>
      <c r="E9" s="1865"/>
      <c r="F9" s="1116"/>
      <c r="G9" s="1243" t="s">
        <v>533</v>
      </c>
      <c r="H9" s="1243" t="s">
        <v>260</v>
      </c>
      <c r="I9" s="1243" t="s">
        <v>265</v>
      </c>
      <c r="J9" s="1301" t="s">
        <v>308</v>
      </c>
    </row>
    <row r="10" spans="2:19">
      <c r="B10" s="1116"/>
      <c r="C10" s="1116"/>
      <c r="D10" s="1116"/>
      <c r="E10" s="1116"/>
      <c r="F10" s="1116"/>
      <c r="G10" s="1243" t="s">
        <v>263</v>
      </c>
      <c r="H10" s="1243" t="s">
        <v>264</v>
      </c>
      <c r="I10" s="1243" t="s">
        <v>266</v>
      </c>
      <c r="J10" s="1409" t="str">
        <f>"of " &amp;TEXT('KEY INPUTS'!D34,"0")&amp;" or Prior"</f>
        <v>of 2019 or Prior</v>
      </c>
    </row>
    <row r="11" spans="2:19" ht="13.8" thickBot="1">
      <c r="B11" s="1171"/>
      <c r="C11" s="1171"/>
      <c r="D11" s="1171"/>
      <c r="E11" s="1171"/>
      <c r="F11" s="1171"/>
      <c r="G11" s="1250"/>
      <c r="H11" s="1250" t="s">
        <v>560</v>
      </c>
      <c r="I11" s="1250" t="s">
        <v>306</v>
      </c>
      <c r="J11" s="1410"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1171"/>
      <c r="C22" s="1171"/>
      <c r="D22" s="1171"/>
      <c r="E22" s="1171"/>
      <c r="F22" s="1171"/>
      <c r="G22" s="1133">
        <f>SUM(G12:G21)</f>
        <v>0</v>
      </c>
      <c r="H22" s="1133">
        <f>SUM(H12:H21)</f>
        <v>0</v>
      </c>
      <c r="I22" s="1133">
        <f>SUM(I12:I21)</f>
        <v>0</v>
      </c>
      <c r="J22" s="1411">
        <f>SUM(J12:J21)</f>
        <v>0</v>
      </c>
      <c r="M22" s="322"/>
      <c r="N22" s="322"/>
      <c r="O22" s="322"/>
      <c r="P22" s="322"/>
      <c r="Q22" s="322"/>
      <c r="R22" s="322"/>
      <c r="S22" s="322"/>
    </row>
    <row r="23" spans="2:19" ht="13.8" thickTop="1">
      <c r="B23" s="1116"/>
      <c r="C23" s="1116"/>
      <c r="D23" s="1116"/>
      <c r="E23" s="1116"/>
      <c r="F23" s="1116"/>
      <c r="G23" s="1116"/>
      <c r="H23" s="1116"/>
      <c r="I23" s="1116"/>
      <c r="J23" s="1116"/>
      <c r="M23" s="322"/>
      <c r="N23" s="322"/>
      <c r="O23" s="322"/>
      <c r="P23" s="322"/>
      <c r="Q23" s="322"/>
      <c r="R23" s="322"/>
      <c r="S23" s="322"/>
    </row>
    <row r="24" spans="2:19">
      <c r="B24" s="1116"/>
      <c r="C24" s="1116"/>
      <c r="D24" s="1116"/>
      <c r="E24" s="1116"/>
      <c r="F24" s="1116"/>
      <c r="G24" s="1116"/>
      <c r="H24" s="1116"/>
      <c r="I24" s="1116"/>
      <c r="J24" s="1116"/>
      <c r="M24" s="322"/>
      <c r="N24" s="322"/>
      <c r="O24" s="322"/>
      <c r="P24" s="322"/>
      <c r="Q24" s="322"/>
      <c r="R24" s="322"/>
      <c r="S24" s="322"/>
    </row>
    <row r="25" spans="2:19">
      <c r="B25" s="1116"/>
      <c r="C25" s="1116"/>
      <c r="D25" s="1116"/>
      <c r="E25" s="1116"/>
      <c r="F25" s="1116"/>
      <c r="G25" s="1116"/>
      <c r="H25" s="1116"/>
      <c r="I25" s="1116"/>
      <c r="J25" s="1116"/>
      <c r="M25" s="322"/>
      <c r="N25" s="322"/>
      <c r="O25" s="322"/>
      <c r="P25" s="322"/>
      <c r="Q25" s="322"/>
      <c r="R25" s="322"/>
      <c r="S25" s="322"/>
    </row>
    <row r="26" spans="2:19">
      <c r="B26" s="1116"/>
      <c r="C26" s="1116"/>
      <c r="D26" s="1116"/>
      <c r="E26" s="1116"/>
      <c r="F26" s="1116"/>
      <c r="G26" s="1116"/>
      <c r="H26" s="1116"/>
      <c r="I26" s="1116"/>
      <c r="J26" s="1116"/>
      <c r="M26" s="322"/>
      <c r="N26" s="322"/>
      <c r="O26" s="322"/>
      <c r="P26" s="322"/>
      <c r="Q26" s="322"/>
      <c r="R26" s="322"/>
      <c r="S26" s="322"/>
    </row>
    <row r="27" spans="2:19">
      <c r="B27" s="1116"/>
      <c r="C27" s="1116"/>
      <c r="D27" s="1116"/>
      <c r="E27" s="1116"/>
      <c r="F27" s="1116"/>
      <c r="G27" s="1116"/>
      <c r="H27" s="1116"/>
      <c r="I27" s="1116"/>
      <c r="J27" s="1116"/>
      <c r="M27" s="322"/>
      <c r="N27" s="322"/>
      <c r="O27" s="322"/>
      <c r="P27" s="322"/>
      <c r="Q27" s="322"/>
      <c r="R27" s="322"/>
      <c r="S27" s="322"/>
    </row>
    <row r="28" spans="2:19" ht="22.8">
      <c r="B28" s="1760" t="str">
        <f>UPPER('KEY INPUTS'!D$53)&amp;" UTILITY  FUND"</f>
        <v xml:space="preserve"> UTILITY  FUND</v>
      </c>
      <c r="C28" s="1760"/>
      <c r="D28" s="1760"/>
      <c r="E28" s="1760"/>
      <c r="F28" s="1760"/>
      <c r="G28" s="1760"/>
      <c r="H28" s="1760"/>
      <c r="I28" s="1760"/>
      <c r="J28" s="1760"/>
    </row>
    <row r="29" spans="2:19" ht="22.8">
      <c r="B29" s="1760" t="s">
        <v>193</v>
      </c>
      <c r="C29" s="1760"/>
      <c r="D29" s="1760"/>
      <c r="E29" s="1760"/>
      <c r="F29" s="1760"/>
      <c r="G29" s="1760"/>
      <c r="H29" s="1760"/>
      <c r="I29" s="1760"/>
      <c r="J29" s="1760"/>
    </row>
    <row r="30" spans="2:19">
      <c r="B30" s="1116"/>
      <c r="C30" s="1116"/>
      <c r="D30" s="1116"/>
      <c r="E30" s="1116"/>
      <c r="F30" s="1116"/>
      <c r="G30" s="1116"/>
      <c r="H30" s="1116"/>
      <c r="I30" s="1116"/>
      <c r="J30" s="1116"/>
    </row>
    <row r="31" spans="2:19" ht="15.6">
      <c r="B31" s="1767" t="str">
        <f>"YEAR  "&amp;TEXT('KEY INPUTS'!D34,"0")&amp;""</f>
        <v>YEAR  2019</v>
      </c>
      <c r="C31" s="1767"/>
      <c r="D31" s="1767"/>
      <c r="E31" s="1767"/>
      <c r="F31" s="1767"/>
      <c r="G31" s="1767"/>
      <c r="H31" s="1767"/>
      <c r="I31" s="1767"/>
      <c r="J31" s="1767"/>
    </row>
    <row r="32" spans="2:19" ht="13.8" thickBot="1">
      <c r="B32" s="1116"/>
      <c r="C32" s="1116"/>
      <c r="D32" s="1116"/>
      <c r="E32" s="1116"/>
      <c r="F32" s="1116"/>
      <c r="G32" s="1116"/>
      <c r="H32" s="1116"/>
      <c r="I32" s="1116"/>
      <c r="J32" s="1116"/>
    </row>
    <row r="33" spans="2:10" ht="28.5" customHeight="1" thickTop="1" thickBot="1">
      <c r="B33" s="1335"/>
      <c r="C33" s="1335"/>
      <c r="D33" s="1335"/>
      <c r="E33" s="1335"/>
      <c r="F33" s="1335"/>
      <c r="G33" s="1335"/>
      <c r="H33" s="1335"/>
      <c r="I33" s="1117" t="s">
        <v>125</v>
      </c>
      <c r="J33" s="1118" t="s">
        <v>126</v>
      </c>
    </row>
    <row r="34" spans="2:10" ht="21" customHeight="1" thickTop="1">
      <c r="B34" s="1412" t="str">
        <f>'KEY INPUTS'!D25</f>
        <v>Balance - January 1, 2019</v>
      </c>
      <c r="C34" s="1172"/>
      <c r="D34" s="1172"/>
      <c r="E34" s="1172"/>
      <c r="F34" s="1172"/>
      <c r="G34" s="1172"/>
      <c r="H34" s="1172"/>
      <c r="I34" s="1173" t="s">
        <v>788</v>
      </c>
      <c r="J34" s="638"/>
    </row>
    <row r="35" spans="2:10" ht="21" customHeight="1">
      <c r="B35" s="691" t="s">
        <v>195</v>
      </c>
      <c r="C35" s="691"/>
      <c r="D35" s="691"/>
      <c r="E35" s="691"/>
      <c r="F35" s="691"/>
      <c r="G35" s="691"/>
      <c r="H35" s="691"/>
      <c r="I35" s="1176" t="s">
        <v>788</v>
      </c>
      <c r="J35" s="578"/>
    </row>
    <row r="36" spans="2:10" ht="21" customHeight="1">
      <c r="B36" s="691" t="s">
        <v>196</v>
      </c>
      <c r="C36" s="691"/>
      <c r="D36" s="691"/>
      <c r="E36" s="691"/>
      <c r="F36" s="691"/>
      <c r="G36" s="691"/>
      <c r="H36" s="691"/>
      <c r="I36" s="1176" t="s">
        <v>788</v>
      </c>
      <c r="J36" s="578"/>
    </row>
    <row r="37" spans="2:10" ht="21" customHeight="1">
      <c r="B37" s="648" t="s">
        <v>3496</v>
      </c>
      <c r="C37" s="648"/>
      <c r="D37" s="648"/>
      <c r="E37" s="648"/>
      <c r="F37" s="648"/>
      <c r="G37" s="648"/>
      <c r="H37" s="691"/>
      <c r="I37" s="374"/>
      <c r="J37" s="578"/>
    </row>
    <row r="38" spans="2:10" ht="21" customHeight="1">
      <c r="B38" s="648"/>
      <c r="C38" s="648"/>
      <c r="D38" s="648"/>
      <c r="E38" s="648"/>
      <c r="F38" s="648"/>
      <c r="G38" s="648"/>
      <c r="H38" s="691"/>
      <c r="I38" s="374"/>
      <c r="J38" s="578"/>
    </row>
    <row r="39" spans="2:10" ht="21" customHeight="1">
      <c r="B39" s="648"/>
      <c r="C39" s="648"/>
      <c r="D39" s="648"/>
      <c r="E39" s="648"/>
      <c r="F39" s="648"/>
      <c r="G39" s="648"/>
      <c r="H39" s="691"/>
      <c r="I39" s="374"/>
      <c r="J39" s="578"/>
    </row>
    <row r="40" spans="2:10" ht="21" customHeight="1">
      <c r="B40" s="691" t="s">
        <v>3455</v>
      </c>
      <c r="C40" s="691"/>
      <c r="D40" s="691"/>
      <c r="E40" s="691"/>
      <c r="F40" s="691"/>
      <c r="G40" s="691"/>
      <c r="H40" s="691"/>
      <c r="I40" s="374"/>
      <c r="J40" s="1302" t="s">
        <v>788</v>
      </c>
    </row>
    <row r="41" spans="2:10" ht="21" customHeight="1">
      <c r="B41" s="916" t="str">
        <f>"Appropriation to "&amp;'KEY INPUTS'!D34&amp;" Budget Reserve"</f>
        <v>Appropriation to 2019 Budget Reserve</v>
      </c>
      <c r="C41" s="691"/>
      <c r="D41" s="691"/>
      <c r="E41" s="691"/>
      <c r="F41" s="691"/>
      <c r="G41" s="1413"/>
      <c r="H41" s="691"/>
      <c r="I41" s="575"/>
      <c r="J41" s="1302" t="s">
        <v>788</v>
      </c>
    </row>
    <row r="42" spans="2:10" ht="21" customHeight="1">
      <c r="B42" s="691" t="str">
        <f>'KEY INPUTS'!D26</f>
        <v>Balance - December 31, 2019</v>
      </c>
      <c r="C42" s="691"/>
      <c r="D42" s="691"/>
      <c r="E42" s="691"/>
      <c r="F42" s="691"/>
      <c r="G42" s="691"/>
      <c r="H42" s="691"/>
      <c r="I42" s="844">
        <f>SUM(J34:J39)-SUM(I37:I41)</f>
        <v>0</v>
      </c>
      <c r="J42" s="1302" t="s">
        <v>788</v>
      </c>
    </row>
    <row r="43" spans="2:10" ht="21" customHeight="1" thickBot="1">
      <c r="B43" s="1116"/>
      <c r="C43" s="1116"/>
      <c r="D43" s="1116"/>
      <c r="E43" s="1116"/>
      <c r="F43" s="1116"/>
      <c r="G43" s="1116"/>
      <c r="H43" s="1116"/>
      <c r="I43" s="1111">
        <f>SUM(I34:I42)</f>
        <v>0</v>
      </c>
      <c r="J43" s="1414">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766" t="s">
        <v>3454</v>
      </c>
      <c r="C52" s="1766"/>
      <c r="D52" s="1766"/>
      <c r="E52" s="1766"/>
      <c r="F52" s="1766"/>
      <c r="G52" s="1766"/>
      <c r="H52" s="1766"/>
      <c r="I52" s="1766"/>
      <c r="J52" s="176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1">
    <tabColor theme="5" tint="0.59999389629810485"/>
  </sheetPr>
  <dimension ref="B1:R57"/>
  <sheetViews>
    <sheetView zoomScaleNormal="100" zoomScaleSheetLayoutView="80" workbookViewId="0"/>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6"/>
      <c r="C1" s="1116"/>
      <c r="D1" s="1116"/>
      <c r="E1" s="1116"/>
      <c r="F1" s="1116"/>
      <c r="G1" s="1116"/>
      <c r="H1" s="1116"/>
    </row>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INPUTS'!D54)&amp;"  UTILITY  FUND"</f>
        <v>TRIAL  BALANCE -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+'47-Utility3'!L24</f>
        <v>0</v>
      </c>
      <c r="H20" s="1125"/>
      <c r="L20" s="322"/>
      <c r="M20" s="322"/>
      <c r="N20" s="322"/>
      <c r="O20" s="322"/>
      <c r="P20" s="322"/>
      <c r="Q20" s="322"/>
      <c r="R20" s="322"/>
    </row>
    <row r="21" spans="2:18" ht="21" customHeight="1">
      <c r="B21" s="691" t="s">
        <v>3488</v>
      </c>
      <c r="C21" s="691"/>
      <c r="D21" s="691"/>
      <c r="E21" s="691"/>
      <c r="F21" s="691"/>
      <c r="G21" s="690">
        <f>+'47-Utility3'!L54</f>
        <v>0</v>
      </c>
      <c r="H21" s="1116"/>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90">
        <f>+'48-Utility3'!N23</f>
        <v>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+'44-Utility3'!I37</f>
        <v>0</v>
      </c>
      <c r="J31" s="740"/>
    </row>
    <row r="32" spans="2:18" ht="21" customHeight="1">
      <c r="B32" s="691" t="s">
        <v>3411</v>
      </c>
      <c r="C32" s="691"/>
      <c r="D32" s="691"/>
      <c r="E32" s="691"/>
      <c r="F32" s="691"/>
      <c r="G32" s="601"/>
      <c r="H32" s="609"/>
    </row>
    <row r="33" spans="2:18" ht="21" customHeight="1">
      <c r="B33" s="691" t="s">
        <v>3410</v>
      </c>
      <c r="C33" s="691"/>
      <c r="D33" s="691"/>
      <c r="E33" s="691"/>
      <c r="F33" s="691"/>
      <c r="G33" s="601"/>
      <c r="H33" s="1128">
        <f>+'49-Utility3'!I29+'49a-Utility3'!I29+'50-Utility3'!M24+'49a.1-Utility3'!I29</f>
        <v>0</v>
      </c>
      <c r="J33" s="740"/>
    </row>
    <row r="34" spans="2:18" ht="21" customHeight="1">
      <c r="B34" s="648" t="s">
        <v>3498</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40"/>
      <c r="L36" s="322"/>
      <c r="M36" s="322"/>
      <c r="N36" s="322"/>
      <c r="O36" s="322"/>
      <c r="P36" s="322"/>
      <c r="Q36" s="322"/>
      <c r="R36" s="322"/>
    </row>
    <row r="37" spans="2:18" ht="21" customHeight="1">
      <c r="B37" s="648"/>
      <c r="C37" s="648"/>
      <c r="D37" s="648"/>
      <c r="E37" s="648"/>
      <c r="F37" s="648"/>
      <c r="G37" s="601"/>
      <c r="H37" s="609"/>
      <c r="J37" s="740"/>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1"/>
      <c r="C39" s="691" t="s">
        <v>3409</v>
      </c>
      <c r="D39" s="691"/>
      <c r="E39" s="691"/>
      <c r="F39" s="1286"/>
      <c r="G39" s="1287"/>
      <c r="H39" s="1218">
        <f>SUM(H30:H38)</f>
        <v>0</v>
      </c>
      <c r="I39" s="398" t="s">
        <v>998</v>
      </c>
    </row>
    <row r="40" spans="2:18" ht="21" customHeight="1">
      <c r="B40" s="1130" t="s">
        <v>3499</v>
      </c>
      <c r="C40" s="1130"/>
      <c r="D40" s="1130"/>
      <c r="E40" s="1130"/>
      <c r="F40" s="1130"/>
      <c r="G40" s="1125"/>
      <c r="H40" s="631"/>
    </row>
    <row r="41" spans="2:18" ht="21" customHeight="1">
      <c r="B41" s="691"/>
      <c r="C41" s="691"/>
      <c r="D41" s="691"/>
      <c r="E41" s="691"/>
      <c r="F41" s="691"/>
      <c r="G41" s="690"/>
      <c r="H41" s="1126"/>
    </row>
    <row r="42" spans="2:18" ht="21" customHeight="1">
      <c r="B42" s="691" t="s">
        <v>778</v>
      </c>
      <c r="C42" s="691"/>
      <c r="D42" s="691"/>
      <c r="E42" s="691"/>
      <c r="F42" s="691"/>
      <c r="G42" s="690"/>
      <c r="H42" s="1126">
        <f>+'46-Utility3'!K27</f>
        <v>0</v>
      </c>
    </row>
    <row r="43" spans="2:18" ht="21" customHeight="1" thickBot="1">
      <c r="B43" s="691"/>
      <c r="C43" s="691"/>
      <c r="D43" s="691"/>
      <c r="E43" s="691"/>
      <c r="F43" s="691"/>
      <c r="G43" s="1131"/>
      <c r="H43" s="1132"/>
    </row>
    <row r="44" spans="2:18" ht="21" customHeight="1" thickBot="1">
      <c r="B44" s="691" t="s">
        <v>3500</v>
      </c>
      <c r="C44" s="691"/>
      <c r="D44" s="691"/>
      <c r="E44" s="691"/>
      <c r="F44" s="691"/>
      <c r="G44" s="1133">
        <f>SUM(G12:G43)</f>
        <v>0</v>
      </c>
      <c r="H44" s="1134">
        <f>SUM(H39:H43)</f>
        <v>0</v>
      </c>
      <c r="J44" s="399">
        <f>G44-H44</f>
        <v>0</v>
      </c>
    </row>
    <row r="45" spans="2:18" ht="13.8" thickTop="1">
      <c r="B45" s="1865" t="s">
        <v>127</v>
      </c>
      <c r="C45" s="1865"/>
      <c r="D45" s="1865"/>
      <c r="E45" s="1865"/>
      <c r="F45" s="1865"/>
      <c r="G45" s="1865"/>
      <c r="H45" s="1865"/>
    </row>
    <row r="46" spans="2:18">
      <c r="B46" s="1301"/>
      <c r="C46" s="1301"/>
      <c r="D46" s="1301"/>
      <c r="E46" s="1301"/>
      <c r="F46" s="1301"/>
      <c r="G46" s="1301"/>
      <c r="H46" s="1301"/>
    </row>
    <row r="47" spans="2:18">
      <c r="B47" s="1301"/>
      <c r="C47" s="1301"/>
      <c r="D47" s="1301"/>
      <c r="E47" s="1301"/>
      <c r="F47" s="1301"/>
      <c r="G47" s="1301"/>
      <c r="H47" s="1301"/>
    </row>
    <row r="48" spans="2:18">
      <c r="B48" s="1301"/>
      <c r="C48" s="1301"/>
      <c r="D48" s="1301"/>
      <c r="E48" s="1301"/>
      <c r="F48" s="1301"/>
      <c r="G48" s="1301"/>
      <c r="H48" s="1301"/>
    </row>
    <row r="49" spans="2:8">
      <c r="B49" s="1301"/>
      <c r="C49" s="1301"/>
      <c r="D49" s="1301"/>
      <c r="E49" s="1301"/>
      <c r="F49" s="1301"/>
      <c r="G49" s="1301"/>
      <c r="H49" s="1301"/>
    </row>
    <row r="50" spans="2:8" ht="13.8">
      <c r="B50" s="1951" t="s">
        <v>3407</v>
      </c>
      <c r="C50" s="1951"/>
      <c r="D50" s="1951"/>
      <c r="E50" s="1951"/>
      <c r="F50" s="1951"/>
      <c r="G50" s="1951"/>
      <c r="H50" s="1951"/>
    </row>
    <row r="54" spans="2:8">
      <c r="H54" s="399"/>
    </row>
    <row r="57" spans="2:8">
      <c r="H57" s="399">
        <f>+H44-G44</f>
        <v>0</v>
      </c>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2">
    <tabColor theme="5" tint="0.59999389629810485"/>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INPUTS'!D54)&amp;"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1116"/>
      <c r="C12" s="1116"/>
      <c r="D12" s="1116"/>
      <c r="E12" s="1116"/>
      <c r="F12" s="1116"/>
      <c r="G12" s="1119"/>
      <c r="H12" s="1120"/>
    </row>
    <row r="13" spans="2:17" ht="21" customHeight="1">
      <c r="B13" s="1127" t="s">
        <v>809</v>
      </c>
      <c r="C13" s="691"/>
      <c r="D13" s="691"/>
      <c r="E13" s="691"/>
      <c r="F13" s="691"/>
      <c r="G13" s="690"/>
      <c r="H13" s="1126"/>
      <c r="K13" s="322"/>
      <c r="L13" s="322"/>
      <c r="M13" s="322"/>
      <c r="N13" s="322"/>
      <c r="O13" s="322"/>
      <c r="P13" s="322"/>
      <c r="Q13" s="322"/>
    </row>
    <row r="14" spans="2:17" ht="21" customHeight="1">
      <c r="B14" s="691"/>
      <c r="C14" s="691"/>
      <c r="D14" s="691"/>
      <c r="E14" s="691"/>
      <c r="F14" s="691"/>
      <c r="G14" s="690"/>
      <c r="H14" s="1126"/>
      <c r="K14" s="322"/>
      <c r="L14" s="322"/>
      <c r="M14" s="322"/>
      <c r="N14" s="322"/>
      <c r="O14" s="322"/>
      <c r="P14" s="322"/>
      <c r="Q14" s="322"/>
    </row>
    <row r="15" spans="2:17" ht="21" customHeight="1">
      <c r="B15" s="1116" t="s">
        <v>251</v>
      </c>
      <c r="C15" s="691"/>
      <c r="D15" s="691"/>
      <c r="E15" s="691"/>
      <c r="F15" s="691"/>
      <c r="G15" s="372"/>
      <c r="H15" s="1302" t="s">
        <v>788</v>
      </c>
      <c r="K15" s="377"/>
      <c r="L15" s="322"/>
      <c r="M15" s="322"/>
      <c r="N15" s="322"/>
      <c r="O15" s="322"/>
      <c r="P15" s="322"/>
      <c r="Q15" s="322"/>
    </row>
    <row r="16" spans="2:17" ht="21" customHeight="1">
      <c r="B16" s="691" t="s">
        <v>252</v>
      </c>
      <c r="C16" s="691"/>
      <c r="D16" s="691"/>
      <c r="E16" s="691"/>
      <c r="F16" s="691"/>
      <c r="G16" s="1176" t="s">
        <v>788</v>
      </c>
      <c r="H16" s="915">
        <f>+G15</f>
        <v>0</v>
      </c>
      <c r="K16" s="322"/>
      <c r="L16" s="322"/>
      <c r="M16" s="322"/>
      <c r="N16" s="322"/>
      <c r="O16" s="322"/>
      <c r="P16" s="322"/>
      <c r="Q16" s="322"/>
    </row>
    <row r="17" spans="2:17" ht="21" customHeight="1">
      <c r="B17" s="691"/>
      <c r="C17" s="691"/>
      <c r="D17" s="691"/>
      <c r="E17" s="691"/>
      <c r="F17" s="691"/>
      <c r="G17" s="908"/>
      <c r="H17" s="915"/>
      <c r="K17" s="322"/>
      <c r="L17" s="322"/>
      <c r="M17" s="322"/>
      <c r="N17" s="322"/>
      <c r="O17" s="322"/>
      <c r="P17" s="322"/>
      <c r="Q17" s="322"/>
    </row>
    <row r="18" spans="2:17" ht="21" customHeight="1">
      <c r="B18" s="691"/>
      <c r="C18" s="691" t="s">
        <v>459</v>
      </c>
      <c r="D18" s="691"/>
      <c r="E18" s="691"/>
      <c r="F18" s="691"/>
      <c r="G18" s="372"/>
      <c r="H18" s="568"/>
      <c r="K18" s="322"/>
      <c r="L18" s="322"/>
      <c r="M18" s="322"/>
      <c r="N18" s="322"/>
      <c r="O18" s="322"/>
      <c r="P18" s="322"/>
      <c r="Q18" s="322"/>
    </row>
    <row r="19" spans="2:17" ht="21" customHeight="1">
      <c r="B19" s="691"/>
      <c r="C19" s="648"/>
      <c r="D19" s="648"/>
      <c r="E19" s="648"/>
      <c r="F19" s="648"/>
      <c r="G19" s="372"/>
      <c r="H19" s="568"/>
      <c r="K19" s="322"/>
      <c r="L19" s="322"/>
      <c r="M19" s="322"/>
      <c r="N19" s="322"/>
      <c r="O19" s="322"/>
      <c r="P19" s="322"/>
      <c r="Q19" s="322"/>
    </row>
    <row r="20" spans="2:17" ht="21" customHeight="1">
      <c r="B20" s="691"/>
      <c r="C20" s="691" t="s">
        <v>1154</v>
      </c>
      <c r="D20" s="691"/>
      <c r="E20" s="691"/>
      <c r="F20" s="691"/>
      <c r="G20" s="372"/>
      <c r="H20" s="568"/>
      <c r="K20" s="322"/>
      <c r="L20" s="322"/>
      <c r="M20" s="322"/>
      <c r="N20" s="322"/>
      <c r="O20" s="322"/>
      <c r="P20" s="322"/>
      <c r="Q20" s="322"/>
    </row>
    <row r="21" spans="2:17" ht="21" customHeight="1">
      <c r="B21" s="691"/>
      <c r="C21" s="691" t="s">
        <v>810</v>
      </c>
      <c r="D21" s="691"/>
      <c r="E21" s="691"/>
      <c r="F21" s="691"/>
      <c r="G21" s="908"/>
      <c r="H21" s="909"/>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838</v>
      </c>
      <c r="E23" s="691"/>
      <c r="F23" s="691"/>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1"/>
      <c r="C43" s="691"/>
      <c r="D43" s="691"/>
      <c r="E43" s="691"/>
      <c r="F43" s="691"/>
      <c r="G43" s="1296"/>
      <c r="H43" s="1297"/>
      <c r="I43" s="399"/>
      <c r="M43" s="399"/>
    </row>
    <row r="44" spans="2:17" ht="21" customHeight="1" thickBot="1">
      <c r="B44" s="691"/>
      <c r="C44" s="691" t="s">
        <v>3546</v>
      </c>
      <c r="D44" s="691"/>
      <c r="E44" s="691"/>
      <c r="F44" s="691"/>
      <c r="G44" s="1298">
        <f>SUM(G15:G42)</f>
        <v>0</v>
      </c>
      <c r="H44" s="1299">
        <f>SUM(H15:H43)</f>
        <v>0</v>
      </c>
      <c r="I44" s="399"/>
      <c r="K44" s="399"/>
    </row>
    <row r="45" spans="2:17" ht="13.8" thickTop="1">
      <c r="B45" s="1918" t="s">
        <v>127</v>
      </c>
      <c r="C45" s="1918"/>
      <c r="D45" s="1918"/>
      <c r="E45" s="1918"/>
      <c r="F45" s="1918"/>
      <c r="G45" s="1919"/>
      <c r="H45" s="1919"/>
    </row>
    <row r="46" spans="2:17">
      <c r="B46" s="1301"/>
      <c r="C46" s="1301"/>
      <c r="D46" s="1301"/>
      <c r="E46" s="1301"/>
      <c r="F46" s="1301"/>
      <c r="G46" s="1301"/>
      <c r="H46" s="1301"/>
    </row>
    <row r="47" spans="2:17">
      <c r="B47" s="1301"/>
      <c r="C47" s="1301"/>
      <c r="D47" s="1301"/>
      <c r="E47" s="1301"/>
      <c r="F47" s="1301"/>
      <c r="G47" s="1301"/>
      <c r="H47" s="1301"/>
    </row>
    <row r="48" spans="2:17">
      <c r="B48" s="1301"/>
      <c r="C48" s="1301"/>
      <c r="D48" s="1301"/>
      <c r="E48" s="1301"/>
      <c r="F48" s="1301"/>
      <c r="G48" s="1301"/>
      <c r="H48" s="1301"/>
    </row>
    <row r="49" spans="2:8">
      <c r="B49" s="1301"/>
      <c r="C49" s="1301"/>
      <c r="D49" s="1301"/>
      <c r="E49" s="1301"/>
      <c r="F49" s="1301"/>
      <c r="G49" s="1301"/>
      <c r="H49" s="1301"/>
    </row>
    <row r="50" spans="2:8" ht="13.8">
      <c r="B50" s="1951" t="s">
        <v>3413</v>
      </c>
      <c r="C50" s="1951"/>
      <c r="D50" s="1951"/>
      <c r="E50" s="1951"/>
      <c r="F50" s="1951"/>
      <c r="G50" s="1951"/>
      <c r="H50" s="1951"/>
    </row>
    <row r="55" spans="2:8">
      <c r="H55" s="399"/>
    </row>
  </sheetData>
  <sheetProtection algorithmName="SHA-512" hashValue="nYGNTUAYTkSM/d3/sWFc0rXP5hJyH6keHpbqmGY16EJCtbF/F2bsAIQ+Dw4us36Q5w1C+GczmC6cJcryt/I64w==" saltValue="gXIzFVe8rOszp3O4tWogm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3">
    <tabColor theme="5" tint="0.59999389629810485"/>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INPUTS'!D54)&amp;"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691"/>
      <c r="C12" s="691" t="s">
        <v>3547</v>
      </c>
      <c r="D12" s="691"/>
      <c r="E12" s="691"/>
      <c r="F12" s="691"/>
      <c r="G12" s="908">
        <f>'41a-Utility3'!G44</f>
        <v>0</v>
      </c>
      <c r="H12" s="915">
        <f>'41a-Utility3'!H44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+'49-Utility3'!G22</f>
        <v>0</v>
      </c>
      <c r="K17" s="322"/>
      <c r="L17" s="322"/>
      <c r="M17" s="322"/>
      <c r="N17" s="322"/>
      <c r="O17" s="322"/>
      <c r="P17" s="322"/>
      <c r="Q17" s="322"/>
    </row>
    <row r="18" spans="2:17" ht="21" customHeight="1">
      <c r="B18" s="691"/>
      <c r="C18" s="691" t="s">
        <v>3680</v>
      </c>
      <c r="D18" s="691"/>
      <c r="E18" s="691"/>
      <c r="F18" s="691"/>
      <c r="G18" s="908"/>
      <c r="H18" s="915">
        <f>'49a-Utility3'!G11-'49a-Utility3'!G22+'49a.1-Utility3'!G11-'49a.1-Utility3'!G22</f>
        <v>0</v>
      </c>
    </row>
    <row r="19" spans="2:17" ht="21" customHeight="1">
      <c r="B19" s="691"/>
      <c r="C19" s="691" t="s">
        <v>3690</v>
      </c>
      <c r="D19" s="691"/>
      <c r="E19" s="691"/>
      <c r="F19" s="691"/>
      <c r="G19" s="908"/>
      <c r="H19" s="915">
        <f>+'51a-Utility3'!G23</f>
        <v>0</v>
      </c>
      <c r="K19" s="322"/>
      <c r="L19" s="322"/>
      <c r="M19" s="322"/>
      <c r="N19" s="322"/>
      <c r="O19" s="322"/>
      <c r="P19" s="322"/>
      <c r="Q19" s="322"/>
    </row>
    <row r="20" spans="2:17" ht="21" customHeight="1">
      <c r="B20" s="691"/>
      <c r="C20" s="916" t="s">
        <v>3415</v>
      </c>
      <c r="D20" s="691"/>
      <c r="E20" s="691"/>
      <c r="F20" s="691"/>
      <c r="G20" s="908"/>
      <c r="H20" s="915">
        <f>+'50-Utility3'!G18</f>
        <v>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+'52-Utility3'!K27</f>
        <v>0</v>
      </c>
      <c r="J22" s="399"/>
      <c r="K22" s="322"/>
      <c r="L22" s="322"/>
      <c r="M22" s="322"/>
      <c r="N22" s="322"/>
      <c r="O22" s="322"/>
      <c r="P22" s="322"/>
      <c r="Q22" s="322"/>
    </row>
    <row r="23" spans="2:17" ht="21" customHeight="1">
      <c r="B23" s="691"/>
      <c r="C23" s="691"/>
      <c r="D23" s="691" t="s">
        <v>1003</v>
      </c>
      <c r="E23" s="691"/>
      <c r="F23" s="691"/>
      <c r="G23" s="908"/>
      <c r="H23" s="915">
        <f>+'52-Utility1'!L27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402"/>
      <c r="C40" s="402" t="s">
        <v>3483</v>
      </c>
      <c r="D40" s="402"/>
      <c r="E40" s="402"/>
      <c r="F40" s="402"/>
      <c r="G40" s="337"/>
      <c r="H40" s="311">
        <f>+'53-Utility3'!I41</f>
        <v>0</v>
      </c>
    </row>
    <row r="41" spans="2:13" ht="21" customHeight="1">
      <c r="B41" s="402"/>
      <c r="C41" s="402" t="s">
        <v>1006</v>
      </c>
      <c r="D41" s="402"/>
      <c r="E41" s="402"/>
      <c r="F41" s="402"/>
      <c r="G41" s="337"/>
      <c r="H41" s="311">
        <f>+'53-Utility3'!I24</f>
        <v>0</v>
      </c>
    </row>
    <row r="42" spans="2:13" ht="21" customHeight="1">
      <c r="B42" s="402"/>
      <c r="C42" s="402" t="s">
        <v>808</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1001</v>
      </c>
      <c r="D44" s="402"/>
      <c r="E44" s="402"/>
      <c r="F44" s="402"/>
      <c r="G44" s="343">
        <f>SUM(G12:G42)</f>
        <v>0</v>
      </c>
      <c r="H44" s="404">
        <f>SUM(H12:H43)</f>
        <v>0</v>
      </c>
      <c r="I44" s="399"/>
      <c r="K44" s="399"/>
    </row>
    <row r="45" spans="2:13" ht="13.8" thickTop="1">
      <c r="B45" s="1779" t="s">
        <v>127</v>
      </c>
      <c r="C45" s="1779"/>
      <c r="D45" s="1779"/>
      <c r="E45" s="1779"/>
      <c r="F45" s="1779"/>
      <c r="G45" s="1780"/>
      <c r="H45" s="1780"/>
    </row>
    <row r="46" spans="2:13">
      <c r="B46" s="1010"/>
      <c r="C46" s="1010"/>
      <c r="D46" s="1010"/>
      <c r="E46" s="1010"/>
      <c r="F46" s="1010"/>
      <c r="G46" s="1010"/>
      <c r="H46" s="1010"/>
    </row>
    <row r="47" spans="2:13">
      <c r="B47" s="1010"/>
      <c r="C47" s="1010"/>
      <c r="D47" s="1010"/>
      <c r="E47" s="1010"/>
      <c r="F47" s="1010"/>
      <c r="G47" s="1010"/>
      <c r="H47" s="1010"/>
    </row>
    <row r="48" spans="2:13">
      <c r="B48" s="1010"/>
      <c r="C48" s="1010"/>
      <c r="D48" s="1010"/>
      <c r="E48" s="1010"/>
      <c r="F48" s="1010"/>
      <c r="G48" s="1010"/>
      <c r="H48" s="1010"/>
    </row>
    <row r="49" spans="2:8">
      <c r="B49" s="1010"/>
      <c r="C49" s="1010"/>
      <c r="D49" s="1010"/>
      <c r="E49" s="1010"/>
      <c r="F49" s="1010"/>
      <c r="G49" s="1010"/>
      <c r="H49" s="1010"/>
    </row>
    <row r="50" spans="2:8" ht="13.8">
      <c r="B50" s="1766" t="s">
        <v>3692</v>
      </c>
      <c r="C50" s="1766"/>
      <c r="D50" s="1766"/>
      <c r="E50" s="1766"/>
      <c r="F50" s="1766"/>
      <c r="G50" s="1766"/>
      <c r="H50" s="1766"/>
    </row>
    <row r="55" spans="2:8">
      <c r="H55" s="399"/>
    </row>
  </sheetData>
  <sheetProtection algorithmName="SHA-512" hashValue="3iw5+WavbwNzNQOUFTUd4NFQTv2rKus3UJcSzsi1WMZ6Sn/+rQyNWfnw+jULvLySu4RAS7tzjXqBYdLXqqEpLA==" saltValue="ss/GinwTUCwICys7ZQPTx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4">
    <tabColor theme="5" tint="0.59999389629810485"/>
  </sheetPr>
  <dimension ref="B1: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8"/>
      <c r="C1" s="1148"/>
      <c r="D1" s="1148"/>
      <c r="E1" s="1148"/>
      <c r="F1" s="1148"/>
      <c r="G1" s="1148"/>
      <c r="H1" s="1148"/>
    </row>
    <row r="2" spans="2:18">
      <c r="B2" s="1148"/>
      <c r="C2" s="1148"/>
      <c r="D2" s="1148"/>
      <c r="E2" s="1148"/>
      <c r="F2" s="1148"/>
      <c r="G2" s="1148"/>
      <c r="H2" s="1148"/>
    </row>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601"/>
      <c r="H38" s="1128">
        <f>+'51-Utility1'!G23</f>
        <v>0</v>
      </c>
    </row>
    <row r="39" spans="2:8" ht="21" customHeight="1">
      <c r="B39" s="1139" t="s">
        <v>3485</v>
      </c>
      <c r="C39" s="1139"/>
      <c r="D39" s="1139"/>
      <c r="E39" s="1139"/>
      <c r="F39" s="1139"/>
      <c r="G39" s="601"/>
      <c r="H39" s="1128">
        <f>+'49-Utility1'!G11</f>
        <v>0</v>
      </c>
    </row>
    <row r="40" spans="2:8" ht="21" customHeight="1">
      <c r="B40" s="1139" t="s">
        <v>1000</v>
      </c>
      <c r="C40" s="1139"/>
      <c r="D40" s="1139"/>
      <c r="E40" s="1139"/>
      <c r="F40" s="1139"/>
      <c r="G40" s="601"/>
      <c r="H40" s="1128">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c r="C43" s="1141"/>
      <c r="D43" s="1141"/>
      <c r="E43" s="1141"/>
      <c r="F43" s="1141"/>
      <c r="G43" s="1107">
        <f>SUM(G11:G42)</f>
        <v>0</v>
      </c>
      <c r="H43" s="1142">
        <f>SUM(H11:H42)</f>
        <v>0</v>
      </c>
    </row>
    <row r="44" spans="2:8">
      <c r="B44" s="1788" t="s">
        <v>127</v>
      </c>
      <c r="C44" s="1788"/>
      <c r="D44" s="1788"/>
      <c r="E44" s="1788"/>
      <c r="F44" s="1788"/>
      <c r="G44" s="1788"/>
      <c r="H44" s="1788"/>
    </row>
    <row r="45" spans="2:8">
      <c r="B45" s="786"/>
      <c r="C45" s="786"/>
      <c r="D45" s="786"/>
      <c r="E45" s="786"/>
      <c r="F45" s="786"/>
      <c r="G45" s="786"/>
      <c r="H45" s="786"/>
    </row>
    <row r="46" spans="2:8">
      <c r="B46" s="786"/>
      <c r="C46" s="786"/>
      <c r="D46" s="786"/>
      <c r="E46" s="786"/>
      <c r="F46" s="786"/>
      <c r="G46" s="786"/>
      <c r="H46" s="786"/>
    </row>
    <row r="47" spans="2:8">
      <c r="B47" s="786"/>
      <c r="C47" s="786"/>
      <c r="D47" s="786"/>
      <c r="E47" s="786"/>
      <c r="F47" s="786"/>
      <c r="G47" s="786"/>
      <c r="H47" s="786"/>
    </row>
    <row r="48" spans="2:8">
      <c r="B48" s="786"/>
      <c r="C48" s="786"/>
      <c r="D48" s="786"/>
      <c r="E48" s="786"/>
      <c r="F48" s="786"/>
      <c r="G48" s="786"/>
      <c r="H48" s="786"/>
    </row>
    <row r="49" spans="2:8" ht="13.8">
      <c r="B49" s="1813" t="s">
        <v>3417</v>
      </c>
      <c r="C49" s="1813"/>
      <c r="D49" s="1813"/>
      <c r="E49" s="1813"/>
      <c r="F49" s="1813"/>
      <c r="G49" s="1813"/>
      <c r="H49" s="1813"/>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5">
    <tabColor theme="5" tint="0.59999389629810485"/>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INPUTS'!D54)&amp;" UTILITY  ASSESSMENT  TRUST  CASH  AND  INVESTMENTS"</f>
        <v>ANALYSIS  OF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6">
    <tabColor theme="5" tint="0.59999389629810485"/>
  </sheetPr>
  <dimension ref="B1:T55"/>
  <sheetViews>
    <sheetView zoomScaleNormal="100" zoomScaleSheetLayoutView="80" workbookViewId="0"/>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6"/>
      <c r="C1" s="1116"/>
      <c r="D1" s="1116"/>
      <c r="E1" s="1116"/>
      <c r="F1" s="1116"/>
      <c r="G1" s="1116"/>
      <c r="H1" s="1116"/>
      <c r="I1" s="1116"/>
      <c r="J1" s="1116"/>
    </row>
    <row r="2" spans="2:20" ht="22.8">
      <c r="B2" s="1760" t="str">
        <f>"SCHEDULE  OF "&amp;UPPER('KEY INPUTS'!D54)&amp;" UTILITY  BUDGET  -  "&amp;TEXT('KEY INPUTS'!D34,"0")&amp;""</f>
        <v>SCHEDULE  OF  UTILITY  BUDGET  -  2019</v>
      </c>
      <c r="C2" s="1760"/>
      <c r="D2" s="1760"/>
      <c r="E2" s="1760"/>
      <c r="F2" s="1760"/>
      <c r="G2" s="1760"/>
      <c r="H2" s="1760"/>
      <c r="I2" s="1760"/>
      <c r="J2" s="1760"/>
    </row>
    <row r="3" spans="2:20" ht="12" customHeight="1">
      <c r="B3" s="1303"/>
      <c r="C3" s="1303"/>
      <c r="D3" s="1303"/>
      <c r="E3" s="1303"/>
      <c r="F3" s="1303"/>
      <c r="G3" s="1303"/>
      <c r="H3" s="1303"/>
      <c r="I3" s="1303"/>
      <c r="J3" s="1303"/>
    </row>
    <row r="4" spans="2:20" ht="17.25" customHeight="1" thickBot="1">
      <c r="B4" s="1920" t="s">
        <v>1056</v>
      </c>
      <c r="C4" s="1920"/>
      <c r="D4" s="1920"/>
      <c r="E4" s="1920"/>
      <c r="F4" s="1920"/>
      <c r="G4" s="1920"/>
      <c r="H4" s="1920"/>
      <c r="I4" s="1920"/>
      <c r="J4" s="1920"/>
    </row>
    <row r="5" spans="2:20" ht="13.8" thickTop="1">
      <c r="B5" s="1921" t="s">
        <v>211</v>
      </c>
      <c r="C5" s="1921"/>
      <c r="D5" s="1921"/>
      <c r="E5" s="1921"/>
      <c r="F5" s="1921"/>
      <c r="G5" s="1886"/>
      <c r="H5" s="1240" t="s">
        <v>677</v>
      </c>
      <c r="I5" s="1240" t="s">
        <v>804</v>
      </c>
      <c r="J5" s="1304" t="s">
        <v>424</v>
      </c>
    </row>
    <row r="6" spans="2:20" ht="13.8" thickBot="1">
      <c r="B6" s="1922"/>
      <c r="C6" s="1922"/>
      <c r="D6" s="1922"/>
      <c r="E6" s="1922"/>
      <c r="F6" s="1922"/>
      <c r="G6" s="1923"/>
      <c r="H6" s="1305"/>
      <c r="I6" s="1305" t="s">
        <v>423</v>
      </c>
      <c r="J6" s="1306" t="s">
        <v>425</v>
      </c>
    </row>
    <row r="7" spans="2:20" ht="21" customHeight="1" thickTop="1">
      <c r="B7" s="1172" t="s">
        <v>3435</v>
      </c>
      <c r="C7" s="1172"/>
      <c r="D7" s="1172"/>
      <c r="E7" s="1172"/>
      <c r="F7" s="1172"/>
      <c r="G7" s="1307" t="s">
        <v>3434</v>
      </c>
      <c r="H7" s="605"/>
      <c r="I7" s="1311">
        <f>H7</f>
        <v>0</v>
      </c>
      <c r="J7" s="1205">
        <f>+I7-H7</f>
        <v>0</v>
      </c>
    </row>
    <row r="8" spans="2:20" ht="10.5" customHeight="1">
      <c r="B8" s="1211" t="s">
        <v>3433</v>
      </c>
      <c r="C8" s="1116"/>
      <c r="D8" s="1116"/>
      <c r="E8" s="1116"/>
      <c r="F8" s="1116"/>
      <c r="G8" s="1308"/>
      <c r="H8" s="1310"/>
      <c r="I8" s="1310"/>
      <c r="J8" s="1120"/>
    </row>
    <row r="9" spans="2:20">
      <c r="B9" s="1130" t="s">
        <v>214</v>
      </c>
      <c r="C9" s="1130"/>
      <c r="D9" s="1130"/>
      <c r="E9" s="1130"/>
      <c r="F9" s="1130"/>
      <c r="G9" s="1309" t="s">
        <v>3432</v>
      </c>
      <c r="H9" s="653"/>
      <c r="I9" s="653"/>
      <c r="J9" s="860">
        <f t="shared" ref="J9:J15" si="0">+I9-H9</f>
        <v>0</v>
      </c>
    </row>
    <row r="10" spans="2:20" ht="21" customHeight="1">
      <c r="B10" s="648"/>
      <c r="C10" s="648"/>
      <c r="D10" s="648"/>
      <c r="E10" s="648"/>
      <c r="F10" s="648"/>
      <c r="G10" s="1168"/>
      <c r="H10" s="782"/>
      <c r="I10" s="782"/>
      <c r="J10" s="1312">
        <f t="shared" si="0"/>
        <v>0</v>
      </c>
      <c r="N10" s="322"/>
      <c r="O10" s="322"/>
      <c r="P10" s="322"/>
      <c r="Q10" s="322"/>
      <c r="R10" s="322"/>
      <c r="S10" s="322"/>
      <c r="T10" s="322"/>
    </row>
    <row r="11" spans="2:20" ht="21" customHeight="1">
      <c r="B11" s="648"/>
      <c r="C11" s="648"/>
      <c r="D11" s="648"/>
      <c r="E11" s="648"/>
      <c r="F11" s="648"/>
      <c r="G11" s="1168"/>
      <c r="H11" s="782"/>
      <c r="I11" s="782"/>
      <c r="J11" s="1126">
        <f t="shared" si="0"/>
        <v>0</v>
      </c>
      <c r="N11" s="322"/>
      <c r="O11" s="322"/>
      <c r="P11" s="322"/>
      <c r="Q11" s="322"/>
      <c r="R11" s="322"/>
      <c r="S11" s="322"/>
      <c r="T11" s="322"/>
    </row>
    <row r="12" spans="2:20" ht="21" customHeight="1">
      <c r="B12" s="648"/>
      <c r="C12" s="648"/>
      <c r="D12" s="648"/>
      <c r="E12" s="648"/>
      <c r="F12" s="648"/>
      <c r="G12" s="1168"/>
      <c r="H12" s="782"/>
      <c r="I12" s="782"/>
      <c r="J12" s="1126">
        <f t="shared" si="0"/>
        <v>0</v>
      </c>
      <c r="N12" s="377"/>
      <c r="O12" s="322"/>
      <c r="P12" s="322"/>
      <c r="Q12" s="322"/>
      <c r="R12" s="322"/>
      <c r="S12" s="322"/>
      <c r="T12" s="322"/>
    </row>
    <row r="13" spans="2:20" ht="21" customHeight="1">
      <c r="B13" s="648"/>
      <c r="C13" s="648"/>
      <c r="D13" s="648"/>
      <c r="E13" s="648"/>
      <c r="F13" s="648"/>
      <c r="G13" s="1168"/>
      <c r="H13" s="782"/>
      <c r="I13" s="782"/>
      <c r="J13" s="1126">
        <f t="shared" si="0"/>
        <v>0</v>
      </c>
      <c r="N13" s="322"/>
      <c r="O13" s="322"/>
      <c r="P13" s="322"/>
      <c r="Q13" s="322"/>
      <c r="R13" s="322"/>
      <c r="S13" s="322"/>
      <c r="T13" s="322"/>
    </row>
    <row r="14" spans="2:20" ht="21" customHeight="1">
      <c r="B14" s="648"/>
      <c r="C14" s="648"/>
      <c r="D14" s="648"/>
      <c r="E14" s="648"/>
      <c r="F14" s="648"/>
      <c r="G14" s="1168"/>
      <c r="H14" s="782"/>
      <c r="I14" s="782"/>
      <c r="J14" s="1126">
        <f t="shared" si="0"/>
        <v>0</v>
      </c>
      <c r="N14" s="322"/>
      <c r="O14" s="322"/>
      <c r="P14" s="322"/>
      <c r="Q14" s="322"/>
      <c r="R14" s="322"/>
      <c r="S14" s="322"/>
      <c r="T14" s="322"/>
    </row>
    <row r="15" spans="2:20" ht="21" customHeight="1">
      <c r="B15" s="691" t="s">
        <v>3431</v>
      </c>
      <c r="C15" s="691"/>
      <c r="D15" s="691"/>
      <c r="E15" s="691"/>
      <c r="F15" s="691"/>
      <c r="G15" s="1309" t="s">
        <v>3427</v>
      </c>
      <c r="H15" s="782"/>
      <c r="I15" s="782"/>
      <c r="J15" s="1126">
        <f t="shared" si="0"/>
        <v>0</v>
      </c>
      <c r="N15" s="322"/>
      <c r="O15" s="322"/>
      <c r="P15" s="322"/>
      <c r="Q15" s="322"/>
      <c r="R15" s="322"/>
      <c r="S15" s="322"/>
      <c r="T15" s="322"/>
    </row>
    <row r="16" spans="2:20" ht="21" customHeight="1">
      <c r="B16" s="691" t="s">
        <v>3430</v>
      </c>
      <c r="C16" s="691"/>
      <c r="D16" s="691"/>
      <c r="E16" s="691"/>
      <c r="F16" s="691"/>
      <c r="G16" s="1309"/>
      <c r="H16" s="782"/>
      <c r="I16" s="782"/>
      <c r="J16" s="1126"/>
      <c r="N16" s="322"/>
      <c r="O16" s="322"/>
      <c r="P16" s="322"/>
      <c r="Q16" s="322"/>
      <c r="R16" s="322"/>
      <c r="S16" s="322"/>
      <c r="T16" s="322"/>
    </row>
    <row r="17" spans="2:20" ht="21" customHeight="1">
      <c r="B17" s="691" t="s">
        <v>422</v>
      </c>
      <c r="C17" s="691"/>
      <c r="D17" s="691"/>
      <c r="E17" s="691"/>
      <c r="F17" s="691"/>
      <c r="G17" s="1309"/>
      <c r="H17" s="1176" t="s">
        <v>788</v>
      </c>
      <c r="I17" s="1176" t="s">
        <v>788</v>
      </c>
      <c r="J17" s="1302"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2"/>
      <c r="N19" s="322"/>
      <c r="O19" s="322"/>
      <c r="P19" s="322"/>
      <c r="Q19" s="322"/>
      <c r="R19" s="322"/>
      <c r="S19" s="322"/>
      <c r="T19" s="322"/>
    </row>
    <row r="20" spans="2:20" ht="21" customHeight="1" thickTop="1">
      <c r="B20" s="691"/>
      <c r="C20" s="691"/>
      <c r="D20" s="691" t="s">
        <v>421</v>
      </c>
      <c r="E20" s="691"/>
      <c r="F20" s="691"/>
      <c r="G20" s="1314"/>
      <c r="H20" s="1317">
        <f>SUM(H7:H19)</f>
        <v>0</v>
      </c>
      <c r="I20" s="1317">
        <f>SUM(I7:I19)</f>
        <v>0</v>
      </c>
      <c r="J20" s="860">
        <f>SUM(J7:J19)</f>
        <v>0</v>
      </c>
      <c r="N20" s="322"/>
      <c r="O20" s="322"/>
      <c r="P20" s="322"/>
      <c r="Q20" s="322"/>
      <c r="R20" s="322"/>
      <c r="S20" s="322"/>
      <c r="T20" s="322"/>
    </row>
    <row r="21" spans="2:20" ht="21" customHeight="1" thickBot="1">
      <c r="B21" s="691" t="s">
        <v>3429</v>
      </c>
      <c r="C21" s="1315"/>
      <c r="D21" s="1315"/>
      <c r="E21" s="691"/>
      <c r="F21" s="691"/>
      <c r="G21" s="1309" t="s">
        <v>3428</v>
      </c>
      <c r="H21" s="655"/>
      <c r="I21" s="655"/>
      <c r="J21" s="1120">
        <f>I21-H21</f>
        <v>0</v>
      </c>
      <c r="N21" s="322"/>
      <c r="O21" s="322"/>
      <c r="P21" s="322"/>
      <c r="Q21" s="322"/>
      <c r="R21" s="322"/>
      <c r="S21" s="322"/>
      <c r="T21" s="322"/>
    </row>
    <row r="22" spans="2:20" ht="21" customHeight="1" thickTop="1" thickBot="1">
      <c r="B22" s="1116"/>
      <c r="C22" s="1116"/>
      <c r="D22" s="1116"/>
      <c r="E22" s="1116"/>
      <c r="F22" s="1116"/>
      <c r="G22" s="1316" t="s">
        <v>3427</v>
      </c>
      <c r="H22" s="1318">
        <f>+H20+H21</f>
        <v>0</v>
      </c>
      <c r="I22" s="1318">
        <f>+I20+I21</f>
        <v>0</v>
      </c>
      <c r="J22" s="1313">
        <f>+J20+J21</f>
        <v>0</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0" t="s">
        <v>426</v>
      </c>
      <c r="C27" s="1920"/>
      <c r="D27" s="1920"/>
      <c r="E27" s="1920"/>
      <c r="F27" s="1920"/>
      <c r="G27" s="1920"/>
      <c r="H27" s="1920"/>
      <c r="I27" s="1920"/>
      <c r="J27" s="1920"/>
    </row>
    <row r="28" spans="2:20" ht="21" customHeight="1" thickTop="1">
      <c r="B28" s="1319" t="s">
        <v>427</v>
      </c>
      <c r="C28" s="1320"/>
      <c r="D28" s="1320"/>
      <c r="E28" s="1320"/>
      <c r="F28" s="1320"/>
      <c r="G28" s="1320"/>
      <c r="H28" s="1320"/>
      <c r="I28" s="1321"/>
      <c r="J28" s="1322" t="s">
        <v>788</v>
      </c>
    </row>
    <row r="29" spans="2:20" ht="21" customHeight="1">
      <c r="B29" s="1323"/>
      <c r="C29" s="1324" t="s">
        <v>222</v>
      </c>
      <c r="D29" s="1324"/>
      <c r="E29" s="1324"/>
      <c r="F29" s="1324"/>
      <c r="G29" s="1324"/>
      <c r="H29" s="1324"/>
      <c r="I29" s="1325"/>
      <c r="J29" s="656"/>
    </row>
    <row r="30" spans="2:20" ht="21" customHeight="1">
      <c r="B30" s="1323"/>
      <c r="C30" s="1324" t="s">
        <v>428</v>
      </c>
      <c r="D30" s="1324"/>
      <c r="E30" s="1324"/>
      <c r="F30" s="1324"/>
      <c r="G30" s="1324"/>
      <c r="H30" s="1324"/>
      <c r="I30" s="1325"/>
      <c r="J30" s="656"/>
    </row>
    <row r="31" spans="2:20" ht="21" customHeight="1" thickBot="1">
      <c r="B31" s="1323"/>
      <c r="C31" s="1324" t="s">
        <v>429</v>
      </c>
      <c r="D31" s="1324"/>
      <c r="E31" s="1324"/>
      <c r="F31" s="1324"/>
      <c r="G31" s="1324"/>
      <c r="H31" s="1324"/>
      <c r="I31" s="1325"/>
      <c r="J31" s="658"/>
    </row>
    <row r="32" spans="2:20" ht="21" customHeight="1" thickTop="1">
      <c r="B32" s="1323" t="s">
        <v>430</v>
      </c>
      <c r="C32" s="1324"/>
      <c r="D32" s="1324"/>
      <c r="E32" s="1324"/>
      <c r="F32" s="1324"/>
      <c r="G32" s="1324"/>
      <c r="H32" s="1324"/>
      <c r="I32" s="1326"/>
      <c r="J32" s="1327">
        <f>SUM(J29:J31)</f>
        <v>0</v>
      </c>
    </row>
    <row r="33" spans="2:13" ht="21" customHeight="1" thickBot="1">
      <c r="B33" s="1323" t="s">
        <v>431</v>
      </c>
      <c r="C33" s="1324"/>
      <c r="D33" s="1324"/>
      <c r="E33" s="1324"/>
      <c r="F33" s="1324"/>
      <c r="G33" s="1324"/>
      <c r="H33" s="1324"/>
      <c r="I33" s="1326"/>
      <c r="J33" s="658"/>
    </row>
    <row r="34" spans="2:13" ht="21" customHeight="1" thickTop="1">
      <c r="B34" s="1323" t="s">
        <v>917</v>
      </c>
      <c r="C34" s="1324"/>
      <c r="D34" s="1324"/>
      <c r="E34" s="1324"/>
      <c r="F34" s="1324"/>
      <c r="G34" s="1324"/>
      <c r="H34" s="1324"/>
      <c r="I34" s="1326"/>
      <c r="J34" s="1327">
        <f>+J32+J33</f>
        <v>0</v>
      </c>
    </row>
    <row r="35" spans="2:13" ht="21" customHeight="1">
      <c r="B35" s="1323" t="s">
        <v>432</v>
      </c>
      <c r="C35" s="1324"/>
      <c r="D35" s="1324"/>
      <c r="E35" s="1324"/>
      <c r="F35" s="1324"/>
      <c r="G35" s="1324"/>
      <c r="H35" s="1324"/>
      <c r="I35" s="1326"/>
      <c r="J35" s="1328"/>
    </row>
    <row r="36" spans="2:13" ht="21" customHeight="1">
      <c r="B36" s="1330"/>
      <c r="C36" s="1330" t="s">
        <v>754</v>
      </c>
      <c r="D36" s="1330"/>
      <c r="E36" s="1330"/>
      <c r="F36" s="1330"/>
      <c r="G36" s="1330"/>
      <c r="H36" s="1330"/>
      <c r="I36" s="659"/>
      <c r="J36" s="1329"/>
    </row>
    <row r="37" spans="2:13" ht="21" customHeight="1">
      <c r="B37" s="1330"/>
      <c r="C37" s="1330" t="s">
        <v>921</v>
      </c>
      <c r="D37" s="1330"/>
      <c r="E37" s="1330"/>
      <c r="F37" s="1330"/>
      <c r="G37" s="1330"/>
      <c r="H37" s="1330"/>
      <c r="I37" s="659"/>
      <c r="J37" s="1329"/>
    </row>
    <row r="38" spans="2:13" ht="21" customHeight="1" thickBot="1">
      <c r="B38" s="1330" t="s">
        <v>433</v>
      </c>
      <c r="C38" s="1330"/>
      <c r="D38" s="1330"/>
      <c r="E38" s="1330"/>
      <c r="F38" s="1330"/>
      <c r="G38" s="1330"/>
      <c r="H38" s="1330"/>
      <c r="I38" s="660"/>
      <c r="J38" s="656"/>
      <c r="M38" s="399"/>
    </row>
    <row r="39" spans="2:13" ht="21" customHeight="1" thickTop="1" thickBot="1">
      <c r="B39" s="1330" t="s">
        <v>922</v>
      </c>
      <c r="C39" s="1330"/>
      <c r="D39" s="1330"/>
      <c r="E39" s="1330"/>
      <c r="F39" s="1330"/>
      <c r="G39" s="1330"/>
      <c r="H39" s="1330"/>
      <c r="I39" s="1331"/>
      <c r="J39" s="1333">
        <f>SUM(I36:I38)</f>
        <v>0</v>
      </c>
    </row>
    <row r="40" spans="2:13" ht="21" customHeight="1" thickTop="1" thickBot="1">
      <c r="B40" s="1330" t="s">
        <v>434</v>
      </c>
      <c r="C40" s="1330"/>
      <c r="D40" s="1330"/>
      <c r="E40" s="1330"/>
      <c r="F40" s="1330"/>
      <c r="G40" s="1330"/>
      <c r="H40" s="1330"/>
      <c r="I40" s="1332"/>
      <c r="J40" s="1334">
        <f>+J34-J39</f>
        <v>0</v>
      </c>
      <c r="K40" s="399"/>
    </row>
    <row r="41" spans="2:13" ht="13.8"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3.8">
      <c r="B55" s="1766" t="s">
        <v>3419</v>
      </c>
      <c r="C55" s="1766"/>
      <c r="D55" s="1766"/>
      <c r="E55" s="1766"/>
      <c r="F55" s="1766"/>
      <c r="G55" s="1766"/>
      <c r="H55" s="1766"/>
      <c r="I55" s="1766"/>
      <c r="J55" s="176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7">
    <tabColor theme="5" tint="0.59999389629810485"/>
  </sheetPr>
  <dimension ref="B1:T57"/>
  <sheetViews>
    <sheetView zoomScaleNormal="100" zoomScaleSheetLayoutView="80" workbookViewId="0"/>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6"/>
      <c r="C1" s="1116"/>
      <c r="D1" s="1116"/>
      <c r="E1" s="1116"/>
      <c r="F1" s="1116"/>
      <c r="G1" s="1116"/>
      <c r="H1" s="1116"/>
      <c r="I1" s="1116"/>
      <c r="J1" s="1116"/>
      <c r="K1" s="1116"/>
    </row>
    <row r="2" spans="2:20">
      <c r="B2" s="1116"/>
      <c r="C2" s="1116"/>
      <c r="D2" s="1116"/>
      <c r="E2" s="1116"/>
      <c r="F2" s="1116"/>
      <c r="G2" s="1116"/>
      <c r="H2" s="1116"/>
      <c r="I2" s="1116"/>
      <c r="J2" s="1116"/>
      <c r="K2" s="1116"/>
    </row>
    <row r="3" spans="2:20" ht="22.8">
      <c r="B3" s="1760" t="str">
        <f>"STATEMENT  OF  "&amp;TEXT('KEY INPUTS'!D34,"0")&amp;"  OPERATION"</f>
        <v>STATEMENT  OF  2019  OPERATION</v>
      </c>
      <c r="C3" s="1760"/>
      <c r="D3" s="1760"/>
      <c r="E3" s="1760"/>
      <c r="F3" s="1760"/>
      <c r="G3" s="1760"/>
      <c r="H3" s="1760"/>
      <c r="I3" s="1760"/>
      <c r="J3" s="1760"/>
      <c r="K3" s="1760"/>
    </row>
    <row r="4" spans="2:20">
      <c r="B4" s="1116"/>
      <c r="C4" s="1116"/>
      <c r="D4" s="1116"/>
      <c r="E4" s="1116"/>
      <c r="F4" s="1116"/>
      <c r="G4" s="1116"/>
      <c r="H4" s="1116"/>
      <c r="I4" s="1116"/>
      <c r="J4" s="1116"/>
      <c r="K4" s="1116"/>
    </row>
    <row r="5" spans="2:20" ht="20.399999999999999">
      <c r="B5" s="1789" t="str">
        <f>UPPER('KEY INPUTS'!D54)&amp;" UTILITY"</f>
        <v xml:space="preserve"> UTILITY</v>
      </c>
      <c r="C5" s="1789"/>
      <c r="D5" s="1789"/>
      <c r="E5" s="1789"/>
      <c r="F5" s="1789"/>
      <c r="G5" s="1789"/>
      <c r="H5" s="1789"/>
      <c r="I5" s="1789"/>
      <c r="J5" s="1789"/>
      <c r="K5" s="1789"/>
    </row>
    <row r="6" spans="2:20">
      <c r="B6" s="1116"/>
      <c r="C6" s="1116"/>
      <c r="D6" s="1116"/>
      <c r="E6" s="1116"/>
      <c r="F6" s="1116"/>
      <c r="G6" s="1116"/>
      <c r="H6" s="1116"/>
      <c r="I6" s="1116"/>
      <c r="J6" s="1116"/>
      <c r="K6" s="1116"/>
    </row>
    <row r="7" spans="2:20">
      <c r="B7" s="1116"/>
      <c r="C7" s="1116"/>
      <c r="D7" s="1116"/>
      <c r="E7" s="1116"/>
      <c r="F7" s="1116"/>
      <c r="G7" s="1116"/>
      <c r="H7" s="1116"/>
      <c r="I7" s="1116"/>
      <c r="J7" s="1116"/>
      <c r="K7" s="1116"/>
    </row>
    <row r="8" spans="2:20">
      <c r="B8" s="1116" t="s">
        <v>408</v>
      </c>
      <c r="C8" s="1191" t="str">
        <f>"Section 1 of this sheet is required to be filled out ONLY IF the "&amp;TEXT('KEY INPUTS'!D34,"0")&amp;" "&amp;PROPER('KEY INPUTS'!D54)&amp;" Utility Budget contained"</f>
        <v>Section 1 of this sheet is required to be filled out ONLY IF the 2019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843"/>
      <c r="N15" s="322"/>
      <c r="O15" s="322"/>
      <c r="P15" s="322"/>
      <c r="Q15" s="322"/>
      <c r="R15" s="322"/>
      <c r="S15" s="322"/>
      <c r="T15" s="322"/>
    </row>
    <row r="16" spans="2:20" ht="21" customHeight="1">
      <c r="B16" s="691"/>
      <c r="C16" s="691" t="s">
        <v>439</v>
      </c>
      <c r="D16" s="691"/>
      <c r="E16" s="691"/>
      <c r="F16" s="691"/>
      <c r="G16" s="691"/>
      <c r="H16" s="691"/>
      <c r="I16" s="691"/>
      <c r="J16" s="844">
        <f>+'44-Utility3'!I20</f>
        <v>0</v>
      </c>
      <c r="K16" s="843"/>
      <c r="N16" s="322"/>
      <c r="O16" s="322"/>
      <c r="P16" s="322"/>
      <c r="Q16" s="322"/>
      <c r="R16" s="322"/>
      <c r="S16" s="322"/>
      <c r="T16" s="322"/>
    </row>
    <row r="17" spans="2:20" ht="21" customHeight="1">
      <c r="B17" s="691"/>
      <c r="C17" s="691" t="s">
        <v>440</v>
      </c>
      <c r="D17" s="691"/>
      <c r="E17" s="691"/>
      <c r="F17" s="691"/>
      <c r="G17" s="691"/>
      <c r="H17" s="691"/>
      <c r="I17" s="691"/>
      <c r="J17" s="575"/>
      <c r="K17" s="843"/>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0</v>
      </c>
      <c r="K18" s="843"/>
      <c r="N18" s="322"/>
      <c r="O18" s="322"/>
      <c r="P18" s="322"/>
      <c r="Q18" s="322"/>
      <c r="R18" s="322"/>
      <c r="S18" s="322"/>
      <c r="T18" s="322"/>
    </row>
    <row r="19" spans="2:20" ht="21" customHeight="1">
      <c r="B19" s="691"/>
      <c r="C19" s="648"/>
      <c r="D19" s="648"/>
      <c r="E19" s="648"/>
      <c r="F19" s="648"/>
      <c r="G19" s="648"/>
      <c r="H19" s="648"/>
      <c r="I19" s="648"/>
      <c r="J19" s="374"/>
      <c r="K19" s="843"/>
      <c r="N19" s="322"/>
      <c r="O19" s="322"/>
      <c r="P19" s="322"/>
      <c r="Q19" s="322"/>
      <c r="R19" s="322"/>
      <c r="S19" s="322"/>
      <c r="T19" s="322"/>
    </row>
    <row r="20" spans="2:20" ht="21" customHeight="1">
      <c r="B20" s="691"/>
      <c r="C20" s="648"/>
      <c r="D20" s="648"/>
      <c r="E20" s="648"/>
      <c r="F20" s="648"/>
      <c r="G20" s="648"/>
      <c r="H20" s="648"/>
      <c r="I20" s="648"/>
      <c r="J20" s="374"/>
      <c r="K20" s="843"/>
      <c r="N20" s="322"/>
      <c r="O20" s="322"/>
      <c r="P20" s="322"/>
      <c r="Q20" s="322"/>
      <c r="R20" s="322"/>
      <c r="S20" s="322"/>
      <c r="T20" s="322"/>
    </row>
    <row r="21" spans="2:20" ht="21" customHeight="1">
      <c r="B21" s="691"/>
      <c r="C21" s="691" t="s">
        <v>441</v>
      </c>
      <c r="D21" s="691"/>
      <c r="E21" s="691"/>
      <c r="F21" s="691"/>
      <c r="G21" s="691"/>
      <c r="H21" s="691"/>
      <c r="I21" s="691"/>
      <c r="J21" s="575"/>
      <c r="K21" s="853">
        <f>SUM(J16:J20)</f>
        <v>0</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+'44-Utility3'!I36</f>
        <v>0</v>
      </c>
      <c r="K24" s="843"/>
      <c r="N24" s="322"/>
      <c r="O24" s="322"/>
      <c r="P24" s="322"/>
      <c r="Q24" s="322"/>
      <c r="R24" s="322"/>
      <c r="S24" s="322"/>
      <c r="T24" s="322"/>
    </row>
    <row r="25" spans="2:20" ht="21" customHeight="1">
      <c r="B25" s="691"/>
      <c r="C25" s="691"/>
      <c r="D25" s="691" t="s">
        <v>921</v>
      </c>
      <c r="E25" s="691"/>
      <c r="F25" s="691"/>
      <c r="G25" s="691"/>
      <c r="H25" s="691"/>
      <c r="I25" s="691"/>
      <c r="J25" s="844">
        <f>+'44-Utility3'!I37</f>
        <v>0</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c r="K27" s="843"/>
      <c r="N27" s="322"/>
      <c r="O27" s="322"/>
      <c r="P27" s="322"/>
      <c r="Q27" s="322"/>
      <c r="R27" s="322"/>
      <c r="S27" s="322"/>
      <c r="T27" s="322"/>
    </row>
    <row r="28" spans="2:20" ht="21" customHeight="1" thickBot="1">
      <c r="B28" s="691"/>
      <c r="C28" s="648"/>
      <c r="D28" s="648"/>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0</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0</v>
      </c>
    </row>
    <row r="33" spans="2:15" ht="21" customHeight="1" thickTop="1" thickBot="1">
      <c r="B33" s="1184" t="s">
        <v>954</v>
      </c>
      <c r="C33" s="1184"/>
      <c r="D33" s="1184"/>
      <c r="E33" s="1184"/>
      <c r="F33" s="1184"/>
      <c r="G33" s="1184"/>
      <c r="H33" s="1184"/>
      <c r="I33" s="1184"/>
      <c r="J33" s="1185"/>
      <c r="K33" s="1186">
        <f>IF(M33&gt;0,M33,0)</f>
        <v>0</v>
      </c>
      <c r="M33" s="399">
        <f>+K21-K32</f>
        <v>0</v>
      </c>
      <c r="N33" s="711" t="s">
        <v>3493</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952"/>
      <c r="K35" s="843"/>
    </row>
    <row r="36" spans="2:15" ht="12.75" customHeight="1" thickBot="1">
      <c r="B36" s="1802"/>
      <c r="C36" s="1802"/>
      <c r="D36" s="1802"/>
      <c r="E36" s="1130" t="s">
        <v>3784</v>
      </c>
      <c r="F36" s="1130"/>
      <c r="G36" s="1130"/>
      <c r="H36" s="1130"/>
      <c r="I36" s="1130"/>
      <c r="J36" s="1181">
        <f>+K33-J34</f>
        <v>0</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+'44-Utility3'!I21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B42" s="1116"/>
      <c r="C42" s="1116"/>
      <c r="D42" s="1116"/>
      <c r="E42" s="1116"/>
      <c r="F42" s="1116"/>
      <c r="G42" s="1116"/>
      <c r="H42" s="1116"/>
      <c r="I42" s="1116"/>
      <c r="J42" s="843"/>
      <c r="K42" s="843"/>
    </row>
    <row r="43" spans="2:15" ht="17.399999999999999">
      <c r="B43" s="1170" t="s">
        <v>959</v>
      </c>
      <c r="C43" s="1116"/>
      <c r="D43" s="1116"/>
      <c r="E43" s="1116"/>
      <c r="F43" s="1116"/>
      <c r="G43" s="1116"/>
      <c r="H43" s="1116"/>
      <c r="I43" s="1116"/>
      <c r="J43" s="843"/>
      <c r="K43" s="843"/>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INPUTS'!D54)&amp;" Utility for "&amp;TEXT('KEY INPUTS'!D34,"0")&amp;""</f>
        <v xml:space="preserve"> Utility for 2019</v>
      </c>
      <c r="C46" s="1116"/>
      <c r="D46" s="1116"/>
      <c r="E46" s="1116"/>
      <c r="F46" s="1116"/>
      <c r="G46" s="1116"/>
      <c r="H46" s="1116"/>
      <c r="I46" s="1116"/>
      <c r="J46" s="843"/>
      <c r="K46" s="843"/>
      <c r="O46" s="322"/>
    </row>
    <row r="47" spans="2:15">
      <c r="B47" s="1116"/>
      <c r="C47" s="1116"/>
      <c r="D47" s="1116"/>
      <c r="E47" s="1116"/>
      <c r="F47" s="1116"/>
      <c r="G47" s="1116"/>
      <c r="H47" s="1116"/>
      <c r="I47" s="1116"/>
      <c r="J47" s="843"/>
      <c r="K47" s="843"/>
      <c r="O47" s="322"/>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c r="K48" s="843"/>
      <c r="O48" s="322"/>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s="322"/>
    </row>
    <row r="50" spans="2:15" ht="21" customHeight="1">
      <c r="B50" s="691" t="s">
        <v>960</v>
      </c>
      <c r="C50" s="691"/>
      <c r="D50" s="691"/>
      <c r="E50" s="691"/>
      <c r="F50" s="691"/>
      <c r="G50" s="691"/>
      <c r="H50" s="691"/>
      <c r="I50" s="691"/>
      <c r="J50" s="664"/>
      <c r="K50" s="853">
        <f>+J48-J49</f>
        <v>0</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8">
    <tabColor theme="5" tint="0.59999389629810485"/>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6"/>
      <c r="C1" s="1116"/>
      <c r="D1" s="1116"/>
      <c r="E1" s="1116"/>
      <c r="F1" s="1116"/>
      <c r="G1" s="1116"/>
      <c r="H1" s="1116"/>
      <c r="I1" s="1116"/>
      <c r="J1" s="1116"/>
      <c r="K1" s="1116"/>
      <c r="L1" s="1116"/>
    </row>
    <row r="2" spans="2:26" ht="20.399999999999999">
      <c r="B2" s="1789" t="str">
        <f>"RESULTS  OF  "&amp;TEXT('KEY INPUTS'!D34,"0")&amp;"  OPERATIONS  - "&amp;UPPER('KEY INPUTS'!D54)&amp;" UTILITY"</f>
        <v>RESULTS  OF  2019  OPERATIONS  -  UTILITY</v>
      </c>
      <c r="C2" s="1789"/>
      <c r="D2" s="1789"/>
      <c r="E2" s="1789"/>
      <c r="F2" s="1789"/>
      <c r="G2" s="1789"/>
      <c r="H2" s="1789"/>
      <c r="I2" s="1789"/>
      <c r="J2" s="1789"/>
      <c r="K2" s="1789"/>
      <c r="L2" s="1789"/>
    </row>
    <row r="3" spans="2:26" ht="13.8" thickBot="1">
      <c r="B3" s="1116"/>
      <c r="C3" s="1116"/>
      <c r="D3" s="1116"/>
      <c r="E3" s="1116"/>
      <c r="F3" s="1116"/>
      <c r="G3" s="1116"/>
      <c r="H3" s="1116"/>
      <c r="I3" s="1116"/>
      <c r="J3" s="1116"/>
      <c r="K3" s="1116"/>
      <c r="L3" s="1116"/>
    </row>
    <row r="4" spans="2:26" ht="21" customHeight="1" thickTop="1" thickBot="1">
      <c r="B4" s="1335"/>
      <c r="C4" s="1335"/>
      <c r="D4" s="1335"/>
      <c r="E4" s="1335"/>
      <c r="F4" s="1335"/>
      <c r="G4" s="1335"/>
      <c r="H4" s="1335"/>
      <c r="I4" s="1335"/>
      <c r="J4" s="1335"/>
      <c r="K4" s="1117" t="s">
        <v>125</v>
      </c>
      <c r="L4" s="1118" t="s">
        <v>126</v>
      </c>
    </row>
    <row r="5" spans="2:26" ht="21" customHeight="1" thickTop="1">
      <c r="B5" s="1212" t="s">
        <v>270</v>
      </c>
      <c r="C5" s="1172"/>
      <c r="D5" s="1172"/>
      <c r="E5" s="1172"/>
      <c r="F5" s="1172"/>
      <c r="G5" s="1172"/>
      <c r="H5" s="1172"/>
      <c r="I5" s="1172"/>
      <c r="J5" s="1172"/>
      <c r="K5" s="1204" t="s">
        <v>788</v>
      </c>
      <c r="L5" s="1205">
        <f>IF(+'44-Utility3'!J20&gt;0,+'44-Utility3'!J22,0)</f>
        <v>0</v>
      </c>
      <c r="N5" s="322"/>
      <c r="O5" s="322"/>
      <c r="P5" s="322"/>
      <c r="Q5" s="322"/>
      <c r="R5" s="322"/>
      <c r="S5" s="322"/>
      <c r="T5" s="322"/>
    </row>
    <row r="6" spans="2:26" ht="21" customHeight="1">
      <c r="B6" s="697" t="s">
        <v>271</v>
      </c>
      <c r="C6" s="691"/>
      <c r="D6" s="691"/>
      <c r="E6" s="691"/>
      <c r="F6" s="691"/>
      <c r="G6" s="691"/>
      <c r="H6" s="691"/>
      <c r="I6" s="691"/>
      <c r="J6" s="691"/>
      <c r="K6" s="1206" t="s">
        <v>788</v>
      </c>
      <c r="L6" s="1126">
        <f>+'44-Utility3'!J40</f>
        <v>0</v>
      </c>
      <c r="M6" s="740"/>
      <c r="N6" s="322"/>
      <c r="O6" s="322"/>
      <c r="P6" s="322"/>
      <c r="Q6" s="322"/>
      <c r="R6" s="322"/>
      <c r="S6" s="322"/>
      <c r="T6" s="322"/>
    </row>
    <row r="7" spans="2:26" ht="21" customHeight="1">
      <c r="B7" s="697" t="s">
        <v>272</v>
      </c>
      <c r="C7" s="691"/>
      <c r="D7" s="691"/>
      <c r="E7" s="691"/>
      <c r="F7" s="691"/>
      <c r="G7" s="691"/>
      <c r="H7" s="691"/>
      <c r="I7" s="691"/>
      <c r="J7" s="691"/>
      <c r="K7" s="1206" t="s">
        <v>788</v>
      </c>
      <c r="L7" s="1126">
        <f>'45-Utility3'!J17</f>
        <v>0</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691"/>
      <c r="J8" s="691"/>
      <c r="K8" s="1206" t="s">
        <v>788</v>
      </c>
      <c r="L8" s="1126">
        <f>+'45-Utility3'!K50</f>
        <v>0</v>
      </c>
      <c r="N8" s="322"/>
      <c r="O8" s="322"/>
      <c r="P8" s="322"/>
      <c r="Q8" s="322"/>
      <c r="R8" s="322"/>
      <c r="S8" s="322"/>
      <c r="T8" s="322"/>
    </row>
    <row r="9" spans="2:26" ht="21" customHeight="1">
      <c r="B9" s="706"/>
      <c r="C9" s="648"/>
      <c r="D9" s="648"/>
      <c r="E9" s="648"/>
      <c r="F9" s="648"/>
      <c r="G9" s="648"/>
      <c r="H9" s="648"/>
      <c r="I9" s="691"/>
      <c r="J9" s="691"/>
      <c r="K9" s="659"/>
      <c r="L9" s="609"/>
      <c r="N9" s="322"/>
      <c r="O9" s="322"/>
      <c r="P9" s="322"/>
      <c r="Q9" s="322"/>
      <c r="R9" s="322"/>
      <c r="S9" s="322"/>
      <c r="T9" s="322"/>
    </row>
    <row r="10" spans="2:26" ht="21" customHeight="1">
      <c r="B10" s="1116" t="s">
        <v>3443</v>
      </c>
      <c r="C10" s="1116"/>
      <c r="D10" s="1116"/>
      <c r="E10" s="1116"/>
      <c r="F10" s="1116"/>
      <c r="G10" s="1116"/>
      <c r="H10" s="1116"/>
      <c r="I10" s="1116"/>
      <c r="J10" s="1116"/>
      <c r="K10" s="1200"/>
      <c r="L10" s="1208" t="s">
        <v>788</v>
      </c>
      <c r="M10" s="399">
        <f>+L9+L8+L7+L6+L5-K11-K10-K9</f>
        <v>0</v>
      </c>
      <c r="N10" s="711" t="s">
        <v>3668</v>
      </c>
      <c r="O10" s="322"/>
      <c r="P10" s="322"/>
      <c r="Q10" s="322"/>
      <c r="R10" s="322"/>
      <c r="S10" s="322"/>
      <c r="T10" s="322"/>
      <c r="V10" s="477">
        <f>-'44-Utility3'!U22</f>
        <v>0</v>
      </c>
    </row>
    <row r="11" spans="2:26" ht="21" customHeight="1">
      <c r="B11" s="703"/>
      <c r="C11" s="1201"/>
      <c r="D11" s="648"/>
      <c r="E11" s="648"/>
      <c r="F11" s="648"/>
      <c r="G11" s="648"/>
      <c r="H11" s="648"/>
      <c r="I11" s="691"/>
      <c r="J11" s="691"/>
      <c r="K11" s="601"/>
      <c r="L11" s="1208" t="s">
        <v>788</v>
      </c>
      <c r="N11" s="322"/>
      <c r="O11" s="322"/>
      <c r="P11" s="322"/>
      <c r="Q11" s="322"/>
      <c r="R11" s="322"/>
      <c r="S11" s="322"/>
      <c r="T11" s="322"/>
      <c r="U11" s="322"/>
      <c r="V11" s="322"/>
      <c r="W11" s="322"/>
      <c r="X11" s="322"/>
      <c r="Y11" s="322"/>
      <c r="Z11" s="322"/>
    </row>
    <row r="12" spans="2:26" ht="21" customHeight="1">
      <c r="B12" s="697" t="s">
        <v>273</v>
      </c>
      <c r="C12" s="1174"/>
      <c r="D12" s="691"/>
      <c r="E12" s="691"/>
      <c r="F12" s="691"/>
      <c r="G12" s="691"/>
      <c r="H12" s="691"/>
      <c r="I12" s="691"/>
      <c r="J12" s="691"/>
      <c r="K12" s="1206" t="s">
        <v>788</v>
      </c>
      <c r="L12" s="1207">
        <f>IF(M10&gt;0,0,M10*-1)</f>
        <v>0</v>
      </c>
      <c r="N12" s="322"/>
      <c r="O12" s="322"/>
      <c r="P12" s="322"/>
      <c r="Q12" s="322"/>
      <c r="R12" s="322"/>
      <c r="S12" s="322"/>
      <c r="T12" s="322"/>
      <c r="U12" s="322"/>
      <c r="V12" s="322"/>
      <c r="W12" s="322"/>
      <c r="X12" s="322"/>
      <c r="Y12" s="322"/>
      <c r="Z12" s="322"/>
    </row>
    <row r="13" spans="2:26" ht="21" customHeight="1" thickBot="1">
      <c r="B13" s="697" t="s">
        <v>274</v>
      </c>
      <c r="C13" s="1174"/>
      <c r="D13" s="691"/>
      <c r="E13" s="691"/>
      <c r="F13" s="691"/>
      <c r="G13" s="691"/>
      <c r="H13" s="691"/>
      <c r="I13" s="691"/>
      <c r="J13" s="691"/>
      <c r="K13" s="690">
        <f>IF(M10&gt;0,M10,0)</f>
        <v>0</v>
      </c>
      <c r="L13" s="1209" t="s">
        <v>788</v>
      </c>
      <c r="M13" s="399"/>
      <c r="N13" s="322"/>
      <c r="O13" s="322"/>
      <c r="P13" s="322"/>
      <c r="Q13" s="322"/>
      <c r="R13" s="322"/>
      <c r="S13" s="322"/>
      <c r="T13" s="322"/>
      <c r="U13" s="322"/>
      <c r="V13" s="476">
        <f>U11</f>
        <v>0</v>
      </c>
      <c r="W13" s="322"/>
      <c r="X13" s="322"/>
      <c r="Y13" s="322"/>
      <c r="Z13" s="322"/>
    </row>
    <row r="14" spans="2:26" ht="21" customHeight="1" thickBot="1">
      <c r="B14" s="1211" t="s">
        <v>3442</v>
      </c>
      <c r="C14" s="1116"/>
      <c r="D14" s="1116"/>
      <c r="E14" s="1116"/>
      <c r="F14" s="1116"/>
      <c r="G14" s="1116"/>
      <c r="H14" s="1116"/>
      <c r="I14" s="1116"/>
      <c r="J14" s="1116"/>
      <c r="K14" s="1133">
        <f>SUM(K5:K13)</f>
        <v>0</v>
      </c>
      <c r="L14" s="1134">
        <f>SUM(L5:L13)</f>
        <v>0</v>
      </c>
      <c r="M14" s="399">
        <f>L14-K14</f>
        <v>0</v>
      </c>
      <c r="N14" s="711" t="s">
        <v>3668</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INPUTS'!D54)&amp;" UTILITY"</f>
        <v>OPERATING  SURPLUS  -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B18" s="1116"/>
      <c r="C18" s="1116"/>
      <c r="D18" s="1116"/>
      <c r="E18" s="1116"/>
      <c r="F18" s="1116"/>
      <c r="G18" s="1116"/>
      <c r="H18" s="1116"/>
      <c r="I18" s="1116"/>
      <c r="J18" s="1116"/>
      <c r="K18" s="1116"/>
      <c r="L18" s="1116"/>
      <c r="N18" s="322"/>
      <c r="O18" s="322"/>
      <c r="P18" s="322"/>
      <c r="Q18" s="322"/>
      <c r="R18" s="322"/>
      <c r="S18" s="322"/>
      <c r="T18" s="322"/>
    </row>
    <row r="19" spans="2:20" ht="25.5" customHeight="1" thickTop="1" thickBot="1">
      <c r="B19" s="1335"/>
      <c r="C19" s="1335"/>
      <c r="D19" s="1335"/>
      <c r="E19" s="1335"/>
      <c r="F19" s="1335"/>
      <c r="G19" s="1335"/>
      <c r="H19" s="1335"/>
      <c r="I19" s="1335"/>
      <c r="J19" s="133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337" t="s">
        <v>788</v>
      </c>
      <c r="L20" s="926"/>
      <c r="N20" s="322"/>
      <c r="O20" s="322"/>
      <c r="P20" s="322"/>
      <c r="Q20" s="322"/>
      <c r="R20" s="322"/>
      <c r="S20" s="322"/>
      <c r="T20" s="322"/>
    </row>
    <row r="21" spans="2:20" ht="21" customHeight="1">
      <c r="B21" s="1202"/>
      <c r="C21" s="648"/>
      <c r="D21" s="648"/>
      <c r="E21" s="648"/>
      <c r="F21" s="648"/>
      <c r="G21" s="648"/>
      <c r="H21" s="648"/>
      <c r="I21" s="648"/>
      <c r="J21" s="648"/>
      <c r="K21" s="1200"/>
      <c r="L21" s="924"/>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338" t="s">
        <v>788</v>
      </c>
      <c r="L22" s="1339">
        <f>+K13</f>
        <v>0</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1340">
        <f>'44-Utility3'!I7</f>
        <v>0</v>
      </c>
      <c r="L23" s="1341"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926"/>
      <c r="L24" s="1924" t="s">
        <v>788</v>
      </c>
    </row>
    <row r="25" spans="2:20" ht="12.75" customHeight="1">
      <c r="B25" s="1130" t="s">
        <v>1066</v>
      </c>
      <c r="C25" s="1130"/>
      <c r="D25" s="1130"/>
      <c r="E25" s="1130"/>
      <c r="F25" s="1130"/>
      <c r="G25" s="1130"/>
      <c r="H25" s="1130"/>
      <c r="I25" s="1130"/>
      <c r="J25" s="1130"/>
      <c r="K25" s="1927"/>
      <c r="L25" s="1925"/>
    </row>
    <row r="26" spans="2:20" ht="21" customHeight="1">
      <c r="B26" s="1202"/>
      <c r="C26" s="648"/>
      <c r="D26" s="648"/>
      <c r="E26" s="648"/>
      <c r="F26" s="648"/>
      <c r="G26" s="648"/>
      <c r="H26" s="648"/>
      <c r="I26" s="648"/>
      <c r="J26" s="648"/>
      <c r="K26" s="925"/>
      <c r="L26" s="1203"/>
    </row>
    <row r="27" spans="2:20" ht="21" customHeight="1" thickBot="1">
      <c r="B27" s="691" t="str">
        <f>'KEY INPUTS'!D26</f>
        <v>Balance - December 31, 2019</v>
      </c>
      <c r="C27" s="691"/>
      <c r="D27" s="691"/>
      <c r="E27" s="691"/>
      <c r="F27" s="691"/>
      <c r="G27" s="691"/>
      <c r="H27" s="691"/>
      <c r="I27" s="691"/>
      <c r="J27" s="691"/>
      <c r="K27" s="1342">
        <f>+SUM(L20:L26)-SUM(K21:K26)</f>
        <v>0</v>
      </c>
      <c r="L27" s="1343" t="s">
        <v>788</v>
      </c>
      <c r="N27" s="778" t="s">
        <v>3530</v>
      </c>
    </row>
    <row r="28" spans="2:20" ht="21" customHeight="1" thickBot="1">
      <c r="B28" s="1116"/>
      <c r="C28" s="1116"/>
      <c r="D28" s="1116"/>
      <c r="E28" s="1116"/>
      <c r="F28" s="1116"/>
      <c r="G28" s="1116"/>
      <c r="H28" s="1116"/>
      <c r="I28" s="1116"/>
      <c r="J28" s="1116"/>
      <c r="K28" s="1133">
        <f>SUM(K21:K27)</f>
        <v>0</v>
      </c>
      <c r="L28" s="1134">
        <f>SUM(L20:L27)</f>
        <v>0</v>
      </c>
    </row>
    <row r="29" spans="2:20" ht="13.8" thickTop="1"/>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6" t="str">
        <f>"(FROM "&amp;UPPER('KEY INPUTS'!D54)&amp;" UTILITY  -  TRIAL  BALANCE)"</f>
        <v>(FROM  UTILITY  -  TRIAL  BALANCE)</v>
      </c>
      <c r="C33" s="1806"/>
      <c r="D33" s="1806"/>
      <c r="E33" s="1806"/>
      <c r="F33" s="1806"/>
      <c r="G33" s="1806"/>
      <c r="H33" s="1806"/>
      <c r="I33" s="1806"/>
      <c r="J33" s="1806"/>
      <c r="K33" s="1806"/>
      <c r="L33" s="1806"/>
    </row>
    <row r="34" spans="2:14" ht="13.8" thickBot="1">
      <c r="B34" s="1116"/>
      <c r="C34" s="1116"/>
      <c r="D34" s="1116"/>
      <c r="E34" s="1116"/>
      <c r="F34" s="1116"/>
      <c r="G34" s="1116"/>
      <c r="H34" s="1116"/>
      <c r="I34" s="1116"/>
      <c r="J34" s="1116"/>
      <c r="K34" s="1116"/>
      <c r="L34" s="1116"/>
    </row>
    <row r="35" spans="2:14" ht="21" customHeight="1" thickTop="1">
      <c r="B35" s="1172" t="s">
        <v>253</v>
      </c>
      <c r="C35" s="1172"/>
      <c r="D35" s="1172"/>
      <c r="E35" s="1172"/>
      <c r="F35" s="1172"/>
      <c r="G35" s="1172"/>
      <c r="H35" s="1172"/>
      <c r="I35" s="1172"/>
      <c r="J35" s="1172"/>
      <c r="K35" s="1216"/>
      <c r="L35" s="1215">
        <f>+'41-Utility3'!G13</f>
        <v>0</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0</v>
      </c>
    </row>
    <row r="39" spans="2:14" ht="21" customHeight="1" thickBot="1">
      <c r="B39" s="691" t="s">
        <v>470</v>
      </c>
      <c r="C39" s="691"/>
      <c r="D39" s="691"/>
      <c r="E39" s="691"/>
      <c r="F39" s="691"/>
      <c r="G39" s="691"/>
      <c r="H39" s="691"/>
      <c r="I39" s="691"/>
      <c r="J39" s="691"/>
      <c r="K39" s="1217"/>
      <c r="L39" s="1219">
        <f>+'41-Utility3'!H39</f>
        <v>0</v>
      </c>
    </row>
    <row r="40" spans="2:14" ht="21" customHeight="1" thickTop="1">
      <c r="B40" s="691"/>
      <c r="C40" s="691"/>
      <c r="D40" s="691" t="s">
        <v>268</v>
      </c>
      <c r="E40" s="691"/>
      <c r="F40" s="691"/>
      <c r="G40" s="691"/>
      <c r="H40" s="691"/>
      <c r="I40" s="691"/>
      <c r="J40" s="691"/>
      <c r="K40" s="1217"/>
      <c r="L40" s="1218">
        <f>+L38-L39</f>
        <v>0</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0</v>
      </c>
    </row>
    <row r="45" spans="2:14" ht="21" customHeight="1" thickBot="1">
      <c r="B45" s="1222" t="str">
        <f>"# MAY NOT BE ANTICIPATED AS NON-CASH SURPLUS IN "&amp;TEXT('KEY INPUTS'!D34,"0")&amp;" BUDGET."</f>
        <v># MAY NOT BE ANTICIPATED AS NON-CASH SURPLUS IN 2019 BUDGET.</v>
      </c>
      <c r="C45" s="1116"/>
      <c r="D45" s="1116"/>
      <c r="E45" s="1116"/>
      <c r="F45" s="1116"/>
      <c r="G45" s="1116"/>
      <c r="H45" s="1116"/>
      <c r="I45" s="1116"/>
      <c r="J45" s="1116"/>
      <c r="K45" s="1223"/>
      <c r="L45" s="1220">
        <f>+L40+L44</f>
        <v>0</v>
      </c>
      <c r="M45" s="399"/>
      <c r="N45" s="778" t="s">
        <v>3530</v>
      </c>
    </row>
    <row r="46" spans="2:14" ht="13.8" thickTop="1">
      <c r="B46" s="470" t="s">
        <v>275</v>
      </c>
      <c r="C46" s="470"/>
    </row>
    <row r="47" spans="2:14">
      <c r="B47" s="470"/>
      <c r="C47" s="470" t="s">
        <v>3441</v>
      </c>
    </row>
    <row r="52" spans="2:12" ht="13.8">
      <c r="B52" s="1766" t="s">
        <v>3440</v>
      </c>
      <c r="C52" s="1766"/>
      <c r="D52" s="1766"/>
      <c r="E52" s="1766"/>
      <c r="F52" s="1766"/>
      <c r="G52" s="1766"/>
      <c r="H52" s="1766"/>
      <c r="I52" s="1766"/>
      <c r="J52" s="1766"/>
      <c r="K52" s="1766"/>
      <c r="L52" s="176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2:V52"/>
  <sheetViews>
    <sheetView topLeftCell="A36" zoomScaleNormal="100" workbookViewId="0">
      <selection activeCell="M48" sqref="M48"/>
    </sheetView>
  </sheetViews>
  <sheetFormatPr defaultRowHeight="13.2"/>
  <cols>
    <col min="1" max="3" width="4.6640625" customWidth="1"/>
    <col min="5" max="5" width="11.88671875" customWidth="1"/>
    <col min="6" max="6" width="1.6640625" customWidth="1"/>
    <col min="7" max="7" width="14.6640625" customWidth="1"/>
    <col min="8" max="8" width="1.6640625" customWidth="1"/>
    <col min="9" max="9" width="14.6640625" customWidth="1"/>
    <col min="10" max="10" width="1.6640625" customWidth="1"/>
    <col min="11" max="11" width="14.6640625" customWidth="1"/>
    <col min="12" max="12" width="1.6640625" customWidth="1"/>
    <col min="13" max="13" width="14.6640625" customWidth="1"/>
    <col min="14" max="14" width="10.88671875" bestFit="1" customWidth="1"/>
  </cols>
  <sheetData>
    <row r="2" spans="2:22" ht="20.399999999999999">
      <c r="B2" s="1508" t="s">
        <v>3641</v>
      </c>
      <c r="C2" s="1508"/>
      <c r="D2" s="1508"/>
      <c r="E2" s="1508"/>
      <c r="F2" s="1508"/>
      <c r="G2" s="1508"/>
      <c r="H2" s="1508"/>
      <c r="I2" s="1508"/>
      <c r="J2" s="1508"/>
      <c r="K2" s="1508"/>
      <c r="L2" s="1508"/>
      <c r="M2" s="1508"/>
    </row>
    <row r="3" spans="2:22">
      <c r="B3" s="1511"/>
      <c r="C3" s="1511"/>
      <c r="D3" s="1511"/>
      <c r="E3" s="1511"/>
      <c r="F3" s="1511"/>
      <c r="G3" s="1511"/>
      <c r="H3" s="1511"/>
      <c r="I3" s="1511"/>
      <c r="J3" s="1511"/>
      <c r="K3" s="1511"/>
      <c r="L3" s="1511"/>
      <c r="M3" s="1511"/>
    </row>
    <row r="5" spans="2:22">
      <c r="B5" s="1571"/>
      <c r="C5" s="1571"/>
      <c r="D5" s="1571"/>
      <c r="G5" s="1" t="s">
        <v>533</v>
      </c>
      <c r="I5" s="130"/>
      <c r="K5" s="130"/>
    </row>
    <row r="6" spans="2:22">
      <c r="B6" s="1571"/>
      <c r="C6" s="1571"/>
      <c r="D6" s="1571"/>
      <c r="G6" s="297" t="str">
        <f>'KEY INPUTS'!D45</f>
        <v>Dec. 31, 2018</v>
      </c>
      <c r="I6" s="1"/>
      <c r="K6" s="1"/>
      <c r="M6" s="1" t="s">
        <v>672</v>
      </c>
    </row>
    <row r="7" spans="2:22">
      <c r="G7" s="1" t="s">
        <v>552</v>
      </c>
      <c r="I7" s="1"/>
      <c r="K7" s="1"/>
      <c r="M7" s="1" t="s">
        <v>556</v>
      </c>
    </row>
    <row r="8" spans="2:22">
      <c r="B8" s="1571" t="s">
        <v>532</v>
      </c>
      <c r="C8" s="1571"/>
      <c r="D8" s="1571"/>
      <c r="G8" s="130" t="s">
        <v>551</v>
      </c>
      <c r="I8" s="130" t="s">
        <v>546</v>
      </c>
      <c r="K8" s="130" t="s">
        <v>678</v>
      </c>
      <c r="M8" s="294" t="str">
        <f>'KEY INPUTS'!D46</f>
        <v>Dec. 31, 2019</v>
      </c>
    </row>
    <row r="9" spans="2:22">
      <c r="B9" s="130"/>
      <c r="C9" s="130"/>
      <c r="D9" s="130"/>
      <c r="G9" s="250"/>
      <c r="I9" s="130"/>
      <c r="K9" s="130"/>
      <c r="M9" s="133"/>
    </row>
    <row r="10" spans="2:22" ht="21" customHeight="1">
      <c r="B10" s="667" t="s">
        <v>3974</v>
      </c>
      <c r="C10" s="375"/>
      <c r="D10" s="375"/>
      <c r="E10" s="375"/>
      <c r="F10" s="397"/>
      <c r="G10" s="376">
        <v>98040</v>
      </c>
      <c r="H10" s="397"/>
      <c r="I10" s="376">
        <v>0</v>
      </c>
      <c r="J10" s="397"/>
      <c r="K10" s="376">
        <v>0</v>
      </c>
      <c r="L10" s="379"/>
      <c r="M10" s="857">
        <f t="shared" ref="M10:M15" si="0">+G10+I10-K10</f>
        <v>98040</v>
      </c>
      <c r="N10" s="228"/>
    </row>
    <row r="11" spans="2:22" ht="21" customHeight="1">
      <c r="B11" s="375" t="s">
        <v>3975</v>
      </c>
      <c r="C11" s="375"/>
      <c r="D11" s="375"/>
      <c r="E11" s="375"/>
      <c r="F11" s="397"/>
      <c r="G11" s="376">
        <v>456345.46</v>
      </c>
      <c r="H11" s="397"/>
      <c r="I11" s="376">
        <v>123223.79</v>
      </c>
      <c r="J11" s="397"/>
      <c r="K11" s="376">
        <v>107972.29</v>
      </c>
      <c r="L11" s="379"/>
      <c r="M11" s="857">
        <f t="shared" si="0"/>
        <v>471596.96</v>
      </c>
      <c r="N11" s="325"/>
      <c r="O11" s="322"/>
      <c r="P11" s="322"/>
      <c r="Q11" s="322"/>
      <c r="R11" s="322"/>
      <c r="S11" s="322"/>
      <c r="T11" s="322"/>
      <c r="U11" s="322"/>
      <c r="V11" s="322"/>
    </row>
    <row r="12" spans="2:22" ht="21" customHeight="1">
      <c r="B12" s="375" t="s">
        <v>3976</v>
      </c>
      <c r="C12" s="375"/>
      <c r="D12" s="375"/>
      <c r="E12" s="375"/>
      <c r="F12" s="397"/>
      <c r="G12" s="376">
        <v>23992.19</v>
      </c>
      <c r="H12" s="397"/>
      <c r="I12" s="376">
        <v>3256.41</v>
      </c>
      <c r="J12" s="397"/>
      <c r="K12" s="376">
        <v>3060</v>
      </c>
      <c r="L12" s="379"/>
      <c r="M12" s="857">
        <f t="shared" si="0"/>
        <v>24188.6</v>
      </c>
      <c r="N12" s="325"/>
      <c r="O12" s="322"/>
      <c r="P12" s="322"/>
      <c r="Q12" s="322"/>
      <c r="R12" s="322"/>
      <c r="S12" s="322"/>
      <c r="T12" s="322"/>
      <c r="U12" s="322"/>
      <c r="V12" s="322"/>
    </row>
    <row r="13" spans="2:22" ht="21" customHeight="1">
      <c r="B13" s="375" t="s">
        <v>3977</v>
      </c>
      <c r="C13" s="375"/>
      <c r="D13" s="375"/>
      <c r="E13" s="375"/>
      <c r="F13" s="397"/>
      <c r="G13" s="376">
        <v>500670.56</v>
      </c>
      <c r="H13" s="397"/>
      <c r="I13" s="666">
        <v>228361.63</v>
      </c>
      <c r="J13" s="397"/>
      <c r="K13" s="376">
        <v>210527.5</v>
      </c>
      <c r="L13" s="379"/>
      <c r="M13" s="857">
        <f t="shared" si="0"/>
        <v>518504.68999999994</v>
      </c>
      <c r="N13" s="325"/>
      <c r="O13" s="377"/>
      <c r="P13" s="322"/>
      <c r="Q13" s="322"/>
      <c r="R13" s="322"/>
      <c r="S13" s="322"/>
      <c r="T13" s="322"/>
      <c r="U13" s="322"/>
      <c r="V13" s="322"/>
    </row>
    <row r="14" spans="2:22" ht="21" customHeight="1">
      <c r="B14" s="667" t="s">
        <v>3978</v>
      </c>
      <c r="C14" s="375"/>
      <c r="D14" s="375"/>
      <c r="E14" s="375"/>
      <c r="F14" s="397"/>
      <c r="G14" s="376">
        <v>219661.17</v>
      </c>
      <c r="H14" s="397"/>
      <c r="I14" s="376">
        <v>300532</v>
      </c>
      <c r="J14" s="397"/>
      <c r="K14" s="376">
        <v>140008.72</v>
      </c>
      <c r="L14" s="379"/>
      <c r="M14" s="857">
        <f t="shared" si="0"/>
        <v>380184.45000000007</v>
      </c>
      <c r="N14" s="325"/>
      <c r="O14" s="322"/>
      <c r="P14" s="322"/>
      <c r="Q14" s="322"/>
      <c r="R14" s="322"/>
      <c r="S14" s="322"/>
      <c r="T14" s="322"/>
      <c r="U14" s="322"/>
      <c r="V14" s="322"/>
    </row>
    <row r="15" spans="2:22" ht="21" customHeight="1">
      <c r="B15" s="375" t="s">
        <v>3979</v>
      </c>
      <c r="C15" s="375"/>
      <c r="D15" s="375"/>
      <c r="E15" s="375"/>
      <c r="F15" s="397"/>
      <c r="G15" s="376">
        <v>43626.28</v>
      </c>
      <c r="H15" s="397"/>
      <c r="I15" s="376">
        <v>79122</v>
      </c>
      <c r="J15" s="397"/>
      <c r="K15" s="376">
        <v>63201.05</v>
      </c>
      <c r="L15" s="379"/>
      <c r="M15" s="857">
        <f t="shared" si="0"/>
        <v>59547.229999999996</v>
      </c>
      <c r="N15" s="325"/>
      <c r="O15" s="322"/>
      <c r="P15" s="322"/>
      <c r="Q15" s="322"/>
      <c r="R15" s="322"/>
      <c r="S15" s="322"/>
      <c r="T15" s="322"/>
      <c r="U15" s="322"/>
      <c r="V15" s="322"/>
    </row>
    <row r="16" spans="2:22" ht="21" customHeight="1">
      <c r="B16" s="375" t="s">
        <v>3980</v>
      </c>
      <c r="C16" s="375"/>
      <c r="D16" s="375"/>
      <c r="E16" s="375"/>
      <c r="F16" s="397"/>
      <c r="G16" s="376">
        <v>274651.40000000002</v>
      </c>
      <c r="H16" s="397"/>
      <c r="I16" s="376">
        <v>100000</v>
      </c>
      <c r="J16" s="397"/>
      <c r="K16" s="376">
        <v>0</v>
      </c>
      <c r="L16" s="379"/>
      <c r="M16" s="857">
        <f t="shared" ref="M16:M47" si="1">+G16+I16-K16</f>
        <v>374651.4</v>
      </c>
      <c r="N16" s="325"/>
      <c r="O16" s="322"/>
      <c r="P16" s="322"/>
      <c r="Q16" s="322"/>
      <c r="R16" s="322"/>
      <c r="S16" s="322"/>
      <c r="T16" s="322"/>
      <c r="U16" s="322"/>
      <c r="V16" s="322"/>
    </row>
    <row r="17" spans="2:22" ht="21" customHeight="1">
      <c r="B17" s="375" t="s">
        <v>3981</v>
      </c>
      <c r="C17" s="375"/>
      <c r="D17" s="375"/>
      <c r="E17" s="375"/>
      <c r="F17" s="397"/>
      <c r="G17" s="376">
        <v>29611.34</v>
      </c>
      <c r="H17" s="397"/>
      <c r="I17" s="376">
        <v>209372.9</v>
      </c>
      <c r="J17" s="397"/>
      <c r="K17" s="376">
        <v>178358.36</v>
      </c>
      <c r="L17" s="379"/>
      <c r="M17" s="857">
        <f t="shared" si="1"/>
        <v>60625.880000000005</v>
      </c>
      <c r="N17" s="325"/>
      <c r="O17" s="322"/>
      <c r="P17" s="322"/>
      <c r="Q17" s="322"/>
      <c r="R17" s="322"/>
      <c r="S17" s="322"/>
      <c r="T17" s="322"/>
      <c r="U17" s="322"/>
      <c r="V17" s="322"/>
    </row>
    <row r="18" spans="2:22" ht="21" customHeight="1">
      <c r="B18" s="375" t="s">
        <v>4012</v>
      </c>
      <c r="C18" s="375"/>
      <c r="D18" s="375"/>
      <c r="E18" s="375"/>
      <c r="F18" s="397"/>
      <c r="G18" s="376">
        <v>38493.68</v>
      </c>
      <c r="H18" s="397"/>
      <c r="I18" s="376">
        <v>39939.22</v>
      </c>
      <c r="J18" s="397"/>
      <c r="K18" s="376">
        <v>38493.68</v>
      </c>
      <c r="L18" s="379"/>
      <c r="M18" s="857">
        <f t="shared" si="1"/>
        <v>39939.219999999994</v>
      </c>
      <c r="N18" s="325"/>
      <c r="O18" s="322"/>
      <c r="P18" s="322"/>
      <c r="Q18" s="322"/>
      <c r="R18" s="322"/>
      <c r="S18" s="322"/>
      <c r="T18" s="322"/>
      <c r="U18" s="322"/>
      <c r="V18" s="322"/>
    </row>
    <row r="19" spans="2:22" ht="21" customHeight="1">
      <c r="B19" s="667" t="s">
        <v>3982</v>
      </c>
      <c r="C19" s="375"/>
      <c r="D19" s="375"/>
      <c r="E19" s="375"/>
      <c r="F19" s="397"/>
      <c r="G19" s="376"/>
      <c r="H19" s="397"/>
      <c r="I19" s="376"/>
      <c r="J19" s="397"/>
      <c r="K19" s="376"/>
      <c r="L19" s="379"/>
      <c r="M19" s="857">
        <f t="shared" si="1"/>
        <v>0</v>
      </c>
      <c r="N19" s="228"/>
      <c r="O19" s="322"/>
      <c r="P19" s="322"/>
      <c r="Q19" s="322"/>
      <c r="R19" s="322"/>
      <c r="S19" s="322"/>
      <c r="T19" s="322"/>
      <c r="U19" s="322"/>
      <c r="V19" s="322"/>
    </row>
    <row r="20" spans="2:22" ht="21" customHeight="1">
      <c r="B20" s="667" t="s">
        <v>3983</v>
      </c>
      <c r="C20" s="375"/>
      <c r="D20" s="375"/>
      <c r="E20" s="375"/>
      <c r="F20" s="397"/>
      <c r="G20" s="376">
        <v>103363.58</v>
      </c>
      <c r="H20" s="397"/>
      <c r="I20" s="376">
        <v>1739.3000000000002</v>
      </c>
      <c r="J20" s="397"/>
      <c r="K20" s="376">
        <v>0</v>
      </c>
      <c r="L20" s="379"/>
      <c r="M20" s="857">
        <f t="shared" si="1"/>
        <v>105102.88</v>
      </c>
      <c r="N20" s="325"/>
      <c r="O20" s="322"/>
      <c r="P20" s="322"/>
      <c r="Q20" s="322"/>
      <c r="R20" s="322"/>
      <c r="S20" s="322"/>
      <c r="T20" s="322"/>
      <c r="U20" s="322"/>
      <c r="V20" s="322"/>
    </row>
    <row r="21" spans="2:22" ht="21" customHeight="1">
      <c r="B21" s="667" t="s">
        <v>3984</v>
      </c>
      <c r="C21" s="375"/>
      <c r="D21" s="375"/>
      <c r="E21" s="375"/>
      <c r="F21" s="397"/>
      <c r="G21" s="376">
        <v>4038.2</v>
      </c>
      <c r="H21" s="397"/>
      <c r="I21" s="376">
        <v>8100</v>
      </c>
      <c r="J21" s="397"/>
      <c r="K21" s="376">
        <v>6875.73</v>
      </c>
      <c r="L21" s="379"/>
      <c r="M21" s="857">
        <f t="shared" si="1"/>
        <v>5262.4700000000012</v>
      </c>
      <c r="N21" s="325"/>
      <c r="O21" s="322"/>
      <c r="P21" s="322"/>
      <c r="Q21" s="322"/>
      <c r="R21" s="322"/>
      <c r="S21" s="322"/>
      <c r="T21" s="322"/>
      <c r="U21" s="322"/>
      <c r="V21" s="322"/>
    </row>
    <row r="22" spans="2:22" ht="21" customHeight="1">
      <c r="B22" s="667" t="s">
        <v>3985</v>
      </c>
      <c r="C22" s="375"/>
      <c r="D22" s="375"/>
      <c r="E22" s="375"/>
      <c r="F22" s="397"/>
      <c r="G22" s="376">
        <v>41925.4</v>
      </c>
      <c r="H22" s="397"/>
      <c r="I22" s="376">
        <v>8787</v>
      </c>
      <c r="J22" s="397"/>
      <c r="K22" s="376">
        <v>8884.85</v>
      </c>
      <c r="L22" s="379"/>
      <c r="M22" s="857">
        <f t="shared" si="1"/>
        <v>41827.550000000003</v>
      </c>
      <c r="N22" s="325"/>
      <c r="O22" s="322"/>
      <c r="P22" s="322"/>
      <c r="Q22" s="322"/>
      <c r="R22" s="322"/>
      <c r="S22" s="322"/>
      <c r="T22" s="322"/>
      <c r="U22" s="322"/>
      <c r="V22" s="322"/>
    </row>
    <row r="23" spans="2:22" ht="21" customHeight="1">
      <c r="B23" s="667" t="s">
        <v>3986</v>
      </c>
      <c r="C23" s="375"/>
      <c r="D23" s="375"/>
      <c r="E23" s="375"/>
      <c r="F23" s="397"/>
      <c r="G23" s="376">
        <v>519374.08000000002</v>
      </c>
      <c r="H23" s="397"/>
      <c r="I23" s="376">
        <v>1643111.74</v>
      </c>
      <c r="J23" s="397"/>
      <c r="K23" s="376">
        <v>1546967.75</v>
      </c>
      <c r="L23" s="379"/>
      <c r="M23" s="857">
        <f t="shared" si="1"/>
        <v>615518.06999999983</v>
      </c>
      <c r="N23" s="325"/>
      <c r="O23" s="322"/>
      <c r="P23" s="322"/>
      <c r="Q23" s="322"/>
      <c r="R23" s="322"/>
      <c r="S23" s="322"/>
      <c r="T23" s="322"/>
      <c r="U23" s="322"/>
      <c r="V23" s="322"/>
    </row>
    <row r="24" spans="2:22" ht="21" customHeight="1">
      <c r="B24" s="667" t="s">
        <v>3987</v>
      </c>
      <c r="C24" s="375"/>
      <c r="D24" s="375"/>
      <c r="E24" s="375"/>
      <c r="F24" s="397"/>
      <c r="G24" s="376">
        <v>6759.5</v>
      </c>
      <c r="H24" s="397"/>
      <c r="I24" s="376">
        <v>2400</v>
      </c>
      <c r="J24" s="397"/>
      <c r="K24" s="376">
        <v>4500</v>
      </c>
      <c r="L24" s="379"/>
      <c r="M24" s="857">
        <f t="shared" si="1"/>
        <v>4659.5</v>
      </c>
      <c r="N24" s="325"/>
      <c r="O24" s="322"/>
      <c r="P24" s="322"/>
      <c r="Q24" s="322"/>
      <c r="R24" s="322"/>
      <c r="S24" s="322"/>
      <c r="T24" s="322"/>
      <c r="U24" s="322"/>
      <c r="V24" s="322"/>
    </row>
    <row r="25" spans="2:22" ht="21" customHeight="1">
      <c r="B25" s="375" t="s">
        <v>3988</v>
      </c>
      <c r="C25" s="375"/>
      <c r="D25" s="375"/>
      <c r="E25" s="375"/>
      <c r="F25" s="397"/>
      <c r="G25" s="376"/>
      <c r="H25" s="397"/>
      <c r="I25" s="376"/>
      <c r="J25" s="397"/>
      <c r="K25" s="376"/>
      <c r="L25" s="379"/>
      <c r="M25" s="857">
        <f t="shared" si="1"/>
        <v>0</v>
      </c>
      <c r="N25" s="325"/>
      <c r="O25" s="322"/>
      <c r="P25" s="322"/>
      <c r="Q25" s="322"/>
      <c r="R25" s="322"/>
      <c r="S25" s="322"/>
      <c r="T25" s="322"/>
      <c r="U25" s="322"/>
      <c r="V25" s="322"/>
    </row>
    <row r="26" spans="2:22" ht="21" customHeight="1">
      <c r="B26" s="375" t="s">
        <v>3989</v>
      </c>
      <c r="C26" s="375"/>
      <c r="D26" s="375"/>
      <c r="E26" s="375"/>
      <c r="F26" s="397"/>
      <c r="G26" s="376"/>
      <c r="H26" s="397"/>
      <c r="I26" s="376">
        <v>838.95</v>
      </c>
      <c r="J26" s="397"/>
      <c r="K26" s="376">
        <v>0</v>
      </c>
      <c r="L26" s="379"/>
      <c r="M26" s="857">
        <f t="shared" si="1"/>
        <v>838.95</v>
      </c>
      <c r="O26" s="322"/>
      <c r="P26" s="322"/>
      <c r="Q26" s="322"/>
      <c r="R26" s="322"/>
      <c r="S26" s="322"/>
      <c r="T26" s="322"/>
      <c r="U26" s="322"/>
      <c r="V26" s="322"/>
    </row>
    <row r="27" spans="2:22" ht="21" customHeight="1">
      <c r="B27" s="375" t="s">
        <v>3990</v>
      </c>
      <c r="C27" s="375"/>
      <c r="D27" s="375"/>
      <c r="E27" s="375"/>
      <c r="F27" s="397"/>
      <c r="G27" s="376">
        <v>42386.38</v>
      </c>
      <c r="H27" s="397"/>
      <c r="I27" s="376">
        <v>0</v>
      </c>
      <c r="J27" s="397"/>
      <c r="K27" s="376">
        <v>25108.85</v>
      </c>
      <c r="L27" s="379"/>
      <c r="M27" s="857">
        <f t="shared" si="1"/>
        <v>17277.53</v>
      </c>
      <c r="O27" s="322"/>
      <c r="P27" s="322"/>
      <c r="Q27" s="322"/>
      <c r="R27" s="322"/>
      <c r="S27" s="322"/>
      <c r="T27" s="322"/>
      <c r="U27" s="322"/>
      <c r="V27" s="322"/>
    </row>
    <row r="28" spans="2:22" ht="21" customHeight="1">
      <c r="B28" s="375" t="s">
        <v>3991</v>
      </c>
      <c r="C28" s="375"/>
      <c r="D28" s="375"/>
      <c r="E28" s="375"/>
      <c r="F28" s="397"/>
      <c r="G28" s="376">
        <v>134520.18</v>
      </c>
      <c r="H28" s="397"/>
      <c r="I28" s="376">
        <v>40098.730000000003</v>
      </c>
      <c r="J28" s="397"/>
      <c r="K28" s="376">
        <v>63959.06</v>
      </c>
      <c r="L28" s="379"/>
      <c r="M28" s="857">
        <f t="shared" si="1"/>
        <v>110659.85</v>
      </c>
      <c r="O28" s="322"/>
      <c r="P28" s="322"/>
      <c r="Q28" s="322"/>
      <c r="R28" s="322"/>
      <c r="S28" s="322"/>
      <c r="T28" s="322"/>
      <c r="U28" s="322"/>
      <c r="V28" s="322"/>
    </row>
    <row r="29" spans="2:22" ht="21" customHeight="1">
      <c r="B29" s="375" t="s">
        <v>3992</v>
      </c>
      <c r="C29" s="375"/>
      <c r="D29" s="375"/>
      <c r="E29" s="375"/>
      <c r="F29" s="397"/>
      <c r="G29" s="376">
        <v>1007.94</v>
      </c>
      <c r="H29" s="397"/>
      <c r="I29" s="376">
        <v>7.57</v>
      </c>
      <c r="J29" s="397"/>
      <c r="K29" s="376">
        <v>0</v>
      </c>
      <c r="L29" s="379"/>
      <c r="M29" s="857">
        <f t="shared" si="1"/>
        <v>1015.5100000000001</v>
      </c>
      <c r="O29" s="322"/>
      <c r="P29" s="322"/>
      <c r="Q29" s="322"/>
      <c r="R29" s="322"/>
      <c r="S29" s="322"/>
      <c r="T29" s="322"/>
      <c r="U29" s="322"/>
      <c r="V29" s="322"/>
    </row>
    <row r="30" spans="2:22" ht="21" customHeight="1">
      <c r="B30" s="375" t="s">
        <v>3993</v>
      </c>
      <c r="C30" s="375"/>
      <c r="D30" s="375"/>
      <c r="E30" s="375"/>
      <c r="F30" s="397"/>
      <c r="G30" s="376">
        <v>1010700</v>
      </c>
      <c r="H30" s="397"/>
      <c r="I30" s="376">
        <v>791600</v>
      </c>
      <c r="J30" s="397"/>
      <c r="K30" s="376">
        <v>405054.87</v>
      </c>
      <c r="L30" s="379"/>
      <c r="M30" s="857">
        <f t="shared" si="1"/>
        <v>1397245.13</v>
      </c>
      <c r="O30" s="322"/>
      <c r="P30" s="322"/>
      <c r="Q30" s="322"/>
      <c r="R30" s="322"/>
      <c r="S30" s="322"/>
      <c r="T30" s="322"/>
      <c r="U30" s="322"/>
      <c r="V30" s="322"/>
    </row>
    <row r="31" spans="2:22" ht="21" customHeight="1">
      <c r="B31" s="375" t="s">
        <v>3994</v>
      </c>
      <c r="C31" s="375"/>
      <c r="D31" s="375"/>
      <c r="E31" s="375"/>
      <c r="F31" s="397"/>
      <c r="G31" s="376">
        <v>113972.64</v>
      </c>
      <c r="H31" s="397"/>
      <c r="I31" s="376">
        <v>409765.83</v>
      </c>
      <c r="J31" s="397"/>
      <c r="K31" s="376">
        <v>416920.08999999997</v>
      </c>
      <c r="L31" s="379"/>
      <c r="M31" s="857">
        <f t="shared" si="1"/>
        <v>106818.38000000006</v>
      </c>
      <c r="O31" s="322"/>
      <c r="P31" s="322"/>
      <c r="Q31" s="322"/>
      <c r="R31" s="322"/>
      <c r="S31" s="322"/>
      <c r="T31" s="322"/>
      <c r="U31" s="322"/>
      <c r="V31" s="322"/>
    </row>
    <row r="32" spans="2:22" ht="21" customHeight="1">
      <c r="B32" s="375" t="s">
        <v>3995</v>
      </c>
      <c r="C32" s="375"/>
      <c r="D32" s="375"/>
      <c r="E32" s="375"/>
      <c r="F32" s="397"/>
      <c r="G32" s="376">
        <v>21639.89</v>
      </c>
      <c r="H32" s="397"/>
      <c r="I32" s="376">
        <v>3315</v>
      </c>
      <c r="J32" s="397"/>
      <c r="K32" s="376">
        <v>199.83</v>
      </c>
      <c r="L32" s="379"/>
      <c r="M32" s="857">
        <f t="shared" si="1"/>
        <v>24755.059999999998</v>
      </c>
      <c r="O32" s="322"/>
      <c r="P32" s="322"/>
      <c r="Q32" s="322"/>
      <c r="R32" s="322"/>
      <c r="S32" s="322"/>
      <c r="T32" s="322"/>
      <c r="U32" s="322"/>
      <c r="V32" s="322"/>
    </row>
    <row r="33" spans="2:22" ht="21" customHeight="1">
      <c r="B33" s="375" t="s">
        <v>3996</v>
      </c>
      <c r="C33" s="375"/>
      <c r="D33" s="375"/>
      <c r="E33" s="375"/>
      <c r="F33" s="397"/>
      <c r="G33" s="376">
        <v>401409.05</v>
      </c>
      <c r="H33" s="397"/>
      <c r="I33" s="376">
        <v>0</v>
      </c>
      <c r="J33" s="397"/>
      <c r="K33" s="376">
        <v>0</v>
      </c>
      <c r="L33" s="379"/>
      <c r="M33" s="857">
        <f t="shared" si="1"/>
        <v>401409.05</v>
      </c>
      <c r="O33" s="322"/>
      <c r="P33" s="322"/>
      <c r="Q33" s="322"/>
      <c r="R33" s="322"/>
      <c r="S33" s="322"/>
      <c r="T33" s="322"/>
      <c r="U33" s="322"/>
      <c r="V33" s="322"/>
    </row>
    <row r="34" spans="2:22" ht="21" customHeight="1">
      <c r="B34" s="375" t="s">
        <v>3997</v>
      </c>
      <c r="C34" s="375"/>
      <c r="D34" s="375"/>
      <c r="E34" s="375"/>
      <c r="F34" s="397"/>
      <c r="G34" s="376">
        <v>594274.16</v>
      </c>
      <c r="H34" s="397"/>
      <c r="I34" s="376">
        <v>32500</v>
      </c>
      <c r="J34" s="397"/>
      <c r="K34" s="376">
        <v>18627.3</v>
      </c>
      <c r="L34" s="379"/>
      <c r="M34" s="857">
        <f t="shared" si="1"/>
        <v>608146.86</v>
      </c>
      <c r="O34" s="322"/>
      <c r="P34" s="322"/>
      <c r="Q34" s="322"/>
      <c r="R34" s="322"/>
      <c r="S34" s="322"/>
      <c r="T34" s="322"/>
      <c r="U34" s="322"/>
      <c r="V34" s="322"/>
    </row>
    <row r="35" spans="2:22" ht="21" customHeight="1">
      <c r="B35" s="375" t="s">
        <v>3998</v>
      </c>
      <c r="C35" s="375"/>
      <c r="D35" s="375"/>
      <c r="E35" s="375"/>
      <c r="F35" s="397"/>
      <c r="G35" s="376">
        <v>6621.37</v>
      </c>
      <c r="H35" s="397"/>
      <c r="I35" s="376">
        <v>172</v>
      </c>
      <c r="J35" s="397"/>
      <c r="K35" s="376">
        <v>0</v>
      </c>
      <c r="L35" s="379"/>
      <c r="M35" s="857">
        <f t="shared" si="1"/>
        <v>6793.37</v>
      </c>
    </row>
    <row r="36" spans="2:22" ht="21" customHeight="1">
      <c r="B36" s="375" t="s">
        <v>3999</v>
      </c>
      <c r="C36" s="375"/>
      <c r="D36" s="375"/>
      <c r="E36" s="375"/>
      <c r="F36" s="397"/>
      <c r="G36" s="376">
        <v>7819.64</v>
      </c>
      <c r="H36" s="397"/>
      <c r="I36" s="376">
        <v>4785</v>
      </c>
      <c r="J36" s="397"/>
      <c r="K36" s="376">
        <v>11572.75</v>
      </c>
      <c r="L36" s="379"/>
      <c r="M36" s="857">
        <f t="shared" si="1"/>
        <v>1031.8899999999994</v>
      </c>
    </row>
    <row r="37" spans="2:22" s="322" customFormat="1" ht="21" customHeight="1">
      <c r="B37" s="375" t="s">
        <v>4000</v>
      </c>
      <c r="C37" s="375"/>
      <c r="D37" s="375"/>
      <c r="E37" s="375"/>
      <c r="F37" s="397"/>
      <c r="G37" s="376">
        <v>39194.58</v>
      </c>
      <c r="H37" s="397"/>
      <c r="I37" s="376">
        <v>83149.62</v>
      </c>
      <c r="J37" s="397"/>
      <c r="K37" s="376">
        <v>91317.1</v>
      </c>
      <c r="L37" s="379"/>
      <c r="M37" s="857">
        <f t="shared" si="1"/>
        <v>31027.099999999991</v>
      </c>
    </row>
    <row r="38" spans="2:22" s="322" customFormat="1" ht="21" customHeight="1">
      <c r="B38" s="375" t="s">
        <v>4001</v>
      </c>
      <c r="C38" s="375"/>
      <c r="D38" s="375"/>
      <c r="E38" s="375"/>
      <c r="F38" s="397"/>
      <c r="G38" s="376">
        <v>0</v>
      </c>
      <c r="H38" s="397"/>
      <c r="I38" s="376">
        <v>1000</v>
      </c>
      <c r="J38" s="397"/>
      <c r="K38" s="376">
        <v>0</v>
      </c>
      <c r="L38" s="379"/>
      <c r="M38" s="857">
        <f t="shared" si="1"/>
        <v>1000</v>
      </c>
    </row>
    <row r="39" spans="2:22" s="322" customFormat="1" ht="21" customHeight="1">
      <c r="B39" s="375" t="s">
        <v>4002</v>
      </c>
      <c r="C39" s="375"/>
      <c r="D39" s="375"/>
      <c r="E39" s="375"/>
      <c r="F39" s="397"/>
      <c r="G39" s="376">
        <v>24433.67</v>
      </c>
      <c r="H39" s="397"/>
      <c r="I39" s="376">
        <v>375.69</v>
      </c>
      <c r="J39" s="397"/>
      <c r="K39" s="376">
        <v>0</v>
      </c>
      <c r="L39" s="379"/>
      <c r="M39" s="857">
        <f t="shared" si="1"/>
        <v>24809.359999999997</v>
      </c>
    </row>
    <row r="40" spans="2:22" s="322" customFormat="1" ht="21" customHeight="1">
      <c r="B40" s="375" t="s">
        <v>4003</v>
      </c>
      <c r="C40" s="375"/>
      <c r="D40" s="375"/>
      <c r="E40" s="375"/>
      <c r="F40" s="397"/>
      <c r="G40" s="376"/>
      <c r="H40" s="397"/>
      <c r="I40" s="376">
        <v>10654</v>
      </c>
      <c r="J40" s="397"/>
      <c r="K40" s="376">
        <v>1500</v>
      </c>
      <c r="L40" s="379"/>
      <c r="M40" s="857">
        <f t="shared" si="1"/>
        <v>9154</v>
      </c>
    </row>
    <row r="41" spans="2:22" s="322" customFormat="1" ht="21" customHeight="1">
      <c r="B41" s="375" t="s">
        <v>4004</v>
      </c>
      <c r="C41" s="375"/>
      <c r="D41" s="375"/>
      <c r="E41" s="375"/>
      <c r="F41" s="397"/>
      <c r="G41" s="376">
        <v>5705.16</v>
      </c>
      <c r="H41" s="397"/>
      <c r="I41" s="376">
        <v>0</v>
      </c>
      <c r="J41" s="397"/>
      <c r="K41" s="376">
        <v>1008</v>
      </c>
      <c r="L41" s="379"/>
      <c r="M41" s="857">
        <f t="shared" si="1"/>
        <v>4697.16</v>
      </c>
    </row>
    <row r="42" spans="2:22" s="322" customFormat="1" ht="21" customHeight="1">
      <c r="B42" s="375" t="s">
        <v>4005</v>
      </c>
      <c r="C42" s="375"/>
      <c r="D42" s="375"/>
      <c r="E42" s="375"/>
      <c r="F42" s="397"/>
      <c r="G42" s="376">
        <v>13567.95</v>
      </c>
      <c r="H42" s="397"/>
      <c r="I42" s="376">
        <v>0</v>
      </c>
      <c r="J42" s="397"/>
      <c r="K42" s="376">
        <v>0</v>
      </c>
      <c r="L42" s="379"/>
      <c r="M42" s="857">
        <f t="shared" si="1"/>
        <v>13567.95</v>
      </c>
    </row>
    <row r="43" spans="2:22" s="322" customFormat="1" ht="21" customHeight="1">
      <c r="B43" s="375" t="s">
        <v>4006</v>
      </c>
      <c r="C43" s="375"/>
      <c r="D43" s="375"/>
      <c r="E43" s="375"/>
      <c r="F43" s="397"/>
      <c r="G43" s="376">
        <v>16907.63</v>
      </c>
      <c r="H43" s="397"/>
      <c r="I43" s="376">
        <v>0</v>
      </c>
      <c r="J43" s="397"/>
      <c r="K43" s="376">
        <v>0</v>
      </c>
      <c r="L43" s="379"/>
      <c r="M43" s="857">
        <f t="shared" si="1"/>
        <v>16907.63</v>
      </c>
    </row>
    <row r="44" spans="2:22" s="322" customFormat="1" ht="21" customHeight="1">
      <c r="B44" s="375" t="s">
        <v>4007</v>
      </c>
      <c r="C44" s="375"/>
      <c r="D44" s="375"/>
      <c r="E44" s="375"/>
      <c r="F44" s="397"/>
      <c r="G44" s="376">
        <v>27000</v>
      </c>
      <c r="H44" s="397"/>
      <c r="I44" s="376">
        <v>0</v>
      </c>
      <c r="J44" s="397"/>
      <c r="K44" s="376">
        <v>0</v>
      </c>
      <c r="L44" s="379"/>
      <c r="M44" s="857">
        <f t="shared" si="1"/>
        <v>27000</v>
      </c>
    </row>
    <row r="45" spans="2:22" ht="21" customHeight="1">
      <c r="B45" s="375" t="s">
        <v>4008</v>
      </c>
      <c r="C45" s="375"/>
      <c r="D45" s="375"/>
      <c r="E45" s="375"/>
      <c r="F45" s="397"/>
      <c r="G45" s="376">
        <v>47046.93</v>
      </c>
      <c r="H45" s="397"/>
      <c r="I45" s="376">
        <v>20454.379999999997</v>
      </c>
      <c r="J45" s="397"/>
      <c r="K45" s="376">
        <v>7506.24</v>
      </c>
      <c r="L45" s="379"/>
      <c r="M45" s="857">
        <f t="shared" si="1"/>
        <v>59995.07</v>
      </c>
    </row>
    <row r="46" spans="2:22" ht="21" customHeight="1">
      <c r="B46" s="375" t="s">
        <v>4009</v>
      </c>
      <c r="C46" s="375"/>
      <c r="D46" s="375"/>
      <c r="E46" s="375"/>
      <c r="F46" s="397"/>
      <c r="G46" s="376">
        <v>484.86</v>
      </c>
      <c r="H46" s="397"/>
      <c r="I46" s="376"/>
      <c r="J46" s="397"/>
      <c r="K46" s="376"/>
      <c r="L46" s="379"/>
      <c r="M46" s="857">
        <f t="shared" si="1"/>
        <v>484.86</v>
      </c>
    </row>
    <row r="47" spans="2:22" ht="21" customHeight="1">
      <c r="B47" s="667"/>
      <c r="C47" s="375"/>
      <c r="D47" s="375"/>
      <c r="E47" s="375"/>
      <c r="F47" s="397"/>
      <c r="G47" s="376"/>
      <c r="H47" s="397"/>
      <c r="I47" s="376"/>
      <c r="J47" s="397"/>
      <c r="K47" s="376"/>
      <c r="L47" s="379"/>
      <c r="M47" s="857">
        <f t="shared" si="1"/>
        <v>0</v>
      </c>
    </row>
    <row r="48" spans="2:22" ht="21" customHeight="1">
      <c r="B48" s="286"/>
      <c r="C48" s="286"/>
      <c r="D48" s="151" t="s">
        <v>3539</v>
      </c>
      <c r="E48" s="286"/>
      <c r="F48" s="322" t="s">
        <v>482</v>
      </c>
      <c r="G48" s="160">
        <f>SUM(G10:G47)</f>
        <v>4869244.87</v>
      </c>
      <c r="H48" s="322" t="s">
        <v>482</v>
      </c>
      <c r="I48" s="160">
        <f>SUM(I10:I47)</f>
        <v>4146662.7600000002</v>
      </c>
      <c r="J48" s="322" t="s">
        <v>482</v>
      </c>
      <c r="K48" s="160">
        <f>SUM(K10:K47)</f>
        <v>3351624.0200000005</v>
      </c>
      <c r="L48" s="322" t="s">
        <v>482</v>
      </c>
      <c r="M48" s="857">
        <f>SUM(M10:M47)</f>
        <v>5664283.6099999994</v>
      </c>
    </row>
    <row r="50" spans="2:13" ht="13.8">
      <c r="B50" s="1507" t="s">
        <v>547</v>
      </c>
      <c r="C50" s="1507"/>
      <c r="D50" s="1507"/>
      <c r="E50" s="1507"/>
      <c r="F50" s="1507"/>
      <c r="G50" s="1507"/>
      <c r="H50" s="1507"/>
      <c r="I50" s="1507"/>
      <c r="J50" s="1507"/>
      <c r="K50" s="1507"/>
      <c r="L50" s="1507"/>
      <c r="M50" s="1507"/>
    </row>
    <row r="52" spans="2:13">
      <c r="G52" s="228"/>
      <c r="M52" s="228"/>
    </row>
  </sheetData>
  <sheetProtection algorithmName="SHA-512" hashValue="L2tdBn4IXAYAqT61G1VaWFnQNip9ycRje5Ee6L1kzYNbolLFdyMgqAGSq6GWai1Y2jvriKL2p8ZZpeAKU7ZcNA==" saltValue="+HagX8ZX3KJk+SjF+2oJTA=="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09">
    <tabColor theme="5" tint="0.59999389629810485"/>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INPUTS'!D54&amp;"  UTILITY  ACCOUNTS  RECEIVABLE")</f>
        <v>SCHEDULE  OF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4" t="s">
        <v>3785</v>
      </c>
      <c r="E11" s="1194"/>
      <c r="F11" s="1194"/>
      <c r="G11" s="1116"/>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9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INPUTS'!D54)&amp;" UTILITY  LIENS"</f>
        <v>SCHEDULE  OF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lmHgY3MKRwijXamjq4E2TgSGVM1i+ZUnT/vumBwVvn9DDazKMAERoB9mLMtosAbD8Pr0GdQ07F8WTpoDjTc9Xg==" saltValue="zLMr7sWyxOPm284Ax8W5K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0">
    <tabColor theme="5" tint="0.59999389629810485"/>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8"/>
      <c r="C1" s="1148"/>
      <c r="D1" s="1148"/>
      <c r="E1" s="1148"/>
      <c r="F1" s="1148"/>
      <c r="G1" s="1148"/>
      <c r="H1" s="1148"/>
      <c r="I1" s="1148"/>
      <c r="J1" s="1148"/>
      <c r="K1" s="1148"/>
      <c r="L1" s="1148"/>
      <c r="M1" s="1148"/>
      <c r="N1" s="1148"/>
    </row>
    <row r="2" spans="2:23">
      <c r="B2" s="1148"/>
      <c r="C2" s="1148"/>
      <c r="D2" s="1148"/>
      <c r="E2" s="1148"/>
      <c r="F2" s="1148"/>
      <c r="G2" s="1148"/>
      <c r="H2" s="1148"/>
      <c r="I2" s="1148"/>
      <c r="J2" s="1148"/>
      <c r="K2" s="1148"/>
      <c r="L2" s="1148"/>
      <c r="M2" s="1148"/>
      <c r="N2" s="1148"/>
    </row>
    <row r="3" spans="2:23" ht="20.399999999999999">
      <c r="B3" s="1871" t="s">
        <v>1130</v>
      </c>
      <c r="C3" s="1871"/>
      <c r="D3" s="1871"/>
      <c r="E3" s="1871"/>
      <c r="F3" s="1871"/>
      <c r="G3" s="1871"/>
      <c r="H3" s="1871"/>
      <c r="I3" s="1871"/>
      <c r="J3" s="1871"/>
      <c r="K3" s="1871"/>
      <c r="L3" s="1871"/>
      <c r="M3" s="1871"/>
      <c r="N3" s="1871"/>
    </row>
    <row r="4" spans="2:23" ht="15.6">
      <c r="B4" s="1929" t="s">
        <v>540</v>
      </c>
      <c r="C4" s="1929"/>
      <c r="D4" s="1929"/>
      <c r="E4" s="1929"/>
      <c r="F4" s="1929"/>
      <c r="G4" s="1929"/>
      <c r="H4" s="1929"/>
      <c r="I4" s="1929"/>
      <c r="J4" s="1929"/>
      <c r="K4" s="1929"/>
      <c r="L4" s="1929"/>
      <c r="M4" s="1929"/>
      <c r="N4" s="1929"/>
    </row>
    <row r="5" spans="2:23" ht="20.399999999999999">
      <c r="B5" s="1789" t="str">
        <f>UPPER('KEY INPUTS'!D54)&amp;" UTILITY  FUND"</f>
        <v xml:space="preserve"> UTILITY  FUND</v>
      </c>
      <c r="C5" s="1789"/>
      <c r="D5" s="1789"/>
      <c r="E5" s="1789"/>
      <c r="F5" s="1789"/>
      <c r="G5" s="1789"/>
      <c r="H5" s="1789"/>
      <c r="I5" s="1789"/>
      <c r="J5" s="1789"/>
      <c r="K5" s="1789"/>
      <c r="L5" s="1789"/>
      <c r="M5" s="1789"/>
      <c r="N5" s="1789"/>
    </row>
    <row r="6" spans="2:23">
      <c r="B6" s="1930" t="s">
        <v>283</v>
      </c>
      <c r="C6" s="1930"/>
      <c r="D6" s="1930"/>
      <c r="E6" s="1930"/>
      <c r="F6" s="1930"/>
      <c r="G6" s="1930"/>
      <c r="H6" s="1930"/>
      <c r="I6" s="1930"/>
      <c r="J6" s="1930"/>
      <c r="K6" s="1930"/>
      <c r="L6" s="1930"/>
      <c r="M6" s="1930"/>
      <c r="N6" s="1930"/>
    </row>
    <row r="7" spans="2:23">
      <c r="B7" s="1148"/>
      <c r="C7" s="1148"/>
      <c r="D7" s="1148"/>
      <c r="E7" s="1148"/>
      <c r="F7" s="1148"/>
      <c r="G7" s="1148"/>
      <c r="H7" s="1148"/>
      <c r="I7" s="1148"/>
      <c r="J7" s="1148"/>
      <c r="K7" s="1148"/>
      <c r="L7" s="1148"/>
      <c r="M7" s="1148"/>
      <c r="N7" s="1148"/>
    </row>
    <row r="8" spans="2:23">
      <c r="B8" s="1148"/>
      <c r="C8" s="1148"/>
      <c r="D8" s="1148"/>
      <c r="E8" s="1148"/>
      <c r="F8" s="1148"/>
      <c r="G8" s="1148"/>
      <c r="H8" s="1143" t="s">
        <v>533</v>
      </c>
      <c r="I8" s="1148"/>
      <c r="J8" s="1148"/>
      <c r="K8" s="1148"/>
      <c r="L8" s="1148"/>
      <c r="M8" s="1148"/>
      <c r="N8" s="1148"/>
    </row>
    <row r="9" spans="2:23">
      <c r="B9" s="1148"/>
      <c r="C9" s="1931" t="s">
        <v>553</v>
      </c>
      <c r="D9" s="1931"/>
      <c r="E9" s="1931"/>
      <c r="F9" s="1148"/>
      <c r="G9" s="1148"/>
      <c r="H9" s="1346" t="str">
        <f>'KEY INPUTS'!D45</f>
        <v>Dec. 31, 2018</v>
      </c>
      <c r="I9" s="1148"/>
      <c r="J9" s="1143" t="s">
        <v>554</v>
      </c>
      <c r="K9" s="1148"/>
      <c r="L9" s="1143" t="s">
        <v>533</v>
      </c>
      <c r="M9" s="1148"/>
      <c r="N9" s="1143" t="s">
        <v>672</v>
      </c>
    </row>
    <row r="10" spans="2:23">
      <c r="B10" s="1148"/>
      <c r="C10" s="1148"/>
      <c r="D10" s="1148"/>
      <c r="E10" s="1148"/>
      <c r="F10" s="1148"/>
      <c r="G10" s="1148"/>
      <c r="H10" s="1143" t="s">
        <v>552</v>
      </c>
      <c r="I10" s="1148"/>
      <c r="J10" s="1143">
        <f>'KEY INPUTS'!D34</f>
        <v>2019</v>
      </c>
      <c r="K10" s="1148"/>
      <c r="L10" s="1143" t="s">
        <v>555</v>
      </c>
      <c r="M10" s="1148"/>
      <c r="N10" s="1143" t="s">
        <v>556</v>
      </c>
    </row>
    <row r="11" spans="2:23">
      <c r="B11" s="1148"/>
      <c r="C11" s="1148"/>
      <c r="D11" s="1148"/>
      <c r="E11" s="1148"/>
      <c r="F11" s="1148"/>
      <c r="G11" s="1148"/>
      <c r="H11" s="1347" t="s">
        <v>551</v>
      </c>
      <c r="I11" s="1148"/>
      <c r="J11" s="1347" t="s">
        <v>677</v>
      </c>
      <c r="K11" s="1148"/>
      <c r="L11" s="1347">
        <f>'KEY INPUTS'!D34</f>
        <v>2019</v>
      </c>
      <c r="M11" s="1148"/>
      <c r="N11" s="1348" t="str">
        <f>'KEY INPUTS'!D46</f>
        <v>Dec. 31, 2019</v>
      </c>
      <c r="Q11" s="322"/>
      <c r="R11" s="322"/>
      <c r="S11" s="322"/>
      <c r="T11" s="322"/>
      <c r="U11" s="322"/>
      <c r="V11" s="322"/>
      <c r="W11" s="322"/>
    </row>
    <row r="12" spans="2:23">
      <c r="B12" s="1349" t="s">
        <v>384</v>
      </c>
      <c r="C12" s="1148" t="s">
        <v>1131</v>
      </c>
      <c r="D12" s="1148"/>
      <c r="E12" s="1148"/>
      <c r="F12" s="1148"/>
      <c r="G12" s="1148"/>
      <c r="H12" s="1148"/>
      <c r="I12" s="1148"/>
      <c r="J12" s="1148"/>
      <c r="K12" s="1148"/>
      <c r="L12" s="1148"/>
      <c r="M12" s="1148"/>
      <c r="N12" s="1148"/>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3408</v>
      </c>
      <c r="D15" s="669"/>
      <c r="E15" s="669"/>
      <c r="F15" s="669"/>
      <c r="G15" s="331" t="s">
        <v>482</v>
      </c>
      <c r="H15" s="580"/>
      <c r="I15" s="331" t="s">
        <v>482</v>
      </c>
      <c r="J15" s="580"/>
      <c r="K15" s="331" t="s">
        <v>482</v>
      </c>
      <c r="L15" s="580"/>
      <c r="M15" s="331" t="s">
        <v>482</v>
      </c>
      <c r="N15" s="1226">
        <f>+H15-J15+L15</f>
        <v>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229" t="s">
        <v>3492</v>
      </c>
      <c r="D20" s="1130"/>
      <c r="E20" s="1228"/>
      <c r="F20" s="1228"/>
      <c r="G20" s="741" t="s">
        <v>482</v>
      </c>
      <c r="H20" s="1227">
        <f>H13+H15+H16+H17+H18+H19</f>
        <v>0</v>
      </c>
      <c r="I20" s="741" t="s">
        <v>482</v>
      </c>
      <c r="J20" s="1227">
        <f>J13+J15+J16+J17+J18+J19</f>
        <v>0</v>
      </c>
      <c r="K20" s="741" t="s">
        <v>482</v>
      </c>
      <c r="L20" s="1227">
        <f>L13+L15+L16+L17+L18+L19</f>
        <v>0</v>
      </c>
      <c r="M20" s="331" t="s">
        <v>482</v>
      </c>
      <c r="N20" s="1227">
        <f>N13+N15+N16+N17+N18+N19</f>
        <v>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741" t="s">
        <v>482</v>
      </c>
      <c r="H23" s="1227">
        <f>H21+H22</f>
        <v>0</v>
      </c>
      <c r="I23" s="741" t="s">
        <v>482</v>
      </c>
      <c r="J23" s="1227">
        <f>J21+J22</f>
        <v>0</v>
      </c>
      <c r="K23" s="741" t="s">
        <v>482</v>
      </c>
      <c r="L23" s="1227">
        <f>L21+L22</f>
        <v>0</v>
      </c>
      <c r="M23" s="331" t="s">
        <v>482</v>
      </c>
      <c r="N23" s="1226">
        <f t="shared" si="0"/>
        <v>0</v>
      </c>
      <c r="Q23" s="322"/>
      <c r="R23" s="322"/>
      <c r="S23" s="322"/>
      <c r="T23" s="322"/>
      <c r="U23" s="322"/>
      <c r="V23" s="322"/>
      <c r="W23" s="322"/>
    </row>
    <row r="24" spans="2:23">
      <c r="B24" s="481"/>
      <c r="Q24" s="322"/>
      <c r="R24" s="322"/>
      <c r="S24" s="322"/>
      <c r="T24" s="322"/>
      <c r="U24" s="322"/>
      <c r="V24" s="322"/>
      <c r="W24" s="322"/>
    </row>
    <row r="25" spans="2:23">
      <c r="B25" s="1349"/>
      <c r="C25" s="1148" t="s">
        <v>1134</v>
      </c>
      <c r="D25" s="1148"/>
      <c r="E25" s="1148"/>
      <c r="F25" s="1148"/>
      <c r="G25" s="1148"/>
      <c r="H25" s="1148"/>
      <c r="I25" s="1148"/>
      <c r="J25" s="1148"/>
      <c r="K25" s="1148"/>
      <c r="L25" s="1148"/>
      <c r="M25" s="1148"/>
      <c r="N25" s="1148"/>
      <c r="Q25" s="322"/>
      <c r="R25" s="322"/>
      <c r="S25" s="322"/>
      <c r="T25" s="322"/>
      <c r="U25" s="322"/>
      <c r="V25" s="322"/>
      <c r="W25" s="322"/>
    </row>
    <row r="26" spans="2:23">
      <c r="B26" s="1349"/>
      <c r="C26" s="1148"/>
      <c r="D26" s="1148"/>
      <c r="E26" s="1148"/>
      <c r="F26" s="1148"/>
      <c r="G26" s="1148"/>
      <c r="H26" s="1148"/>
      <c r="I26" s="1148"/>
      <c r="J26" s="1148"/>
      <c r="K26" s="1148"/>
      <c r="L26" s="1148"/>
      <c r="M26" s="1148"/>
      <c r="N26" s="1148"/>
      <c r="Q26" s="322"/>
      <c r="R26" s="322"/>
      <c r="S26" s="322"/>
      <c r="T26" s="322"/>
      <c r="U26" s="322"/>
      <c r="V26" s="322"/>
      <c r="W26" s="322"/>
    </row>
    <row r="27" spans="2:23">
      <c r="B27" s="1349"/>
      <c r="C27" s="1148"/>
      <c r="D27" s="1148"/>
      <c r="E27" s="1148"/>
      <c r="F27" s="1148"/>
      <c r="G27" s="1148"/>
      <c r="H27" s="1148"/>
      <c r="I27" s="1148"/>
      <c r="J27" s="1148"/>
      <c r="K27" s="1148"/>
      <c r="L27" s="1148"/>
      <c r="M27" s="1148"/>
      <c r="N27" s="1148"/>
      <c r="Q27" s="322"/>
      <c r="R27" s="322"/>
      <c r="S27" s="322"/>
      <c r="T27" s="322"/>
      <c r="U27" s="322"/>
      <c r="V27" s="322"/>
      <c r="W27" s="322"/>
    </row>
    <row r="28" spans="2:23" ht="15.6">
      <c r="B28" s="1928" t="s">
        <v>530</v>
      </c>
      <c r="C28" s="1928"/>
      <c r="D28" s="1928"/>
      <c r="E28" s="1928"/>
      <c r="F28" s="1928"/>
      <c r="G28" s="1928"/>
      <c r="H28" s="1928"/>
      <c r="I28" s="1928"/>
      <c r="J28" s="1928"/>
      <c r="K28" s="1928"/>
      <c r="L28" s="1928"/>
      <c r="M28" s="1928"/>
      <c r="N28" s="1928"/>
    </row>
    <row r="29" spans="2:23" ht="15.6">
      <c r="B29" s="1928" t="s">
        <v>531</v>
      </c>
      <c r="C29" s="1928"/>
      <c r="D29" s="1928"/>
      <c r="E29" s="1928"/>
      <c r="F29" s="1928"/>
      <c r="G29" s="1928"/>
      <c r="H29" s="1928"/>
      <c r="I29" s="1928"/>
      <c r="J29" s="1928"/>
      <c r="K29" s="1928"/>
      <c r="L29" s="1928"/>
      <c r="M29" s="1928"/>
      <c r="N29" s="1928"/>
    </row>
    <row r="30" spans="2:23" ht="6.75" customHeight="1">
      <c r="B30" s="1351"/>
      <c r="C30" s="1351"/>
      <c r="D30" s="1351"/>
      <c r="E30" s="1351"/>
      <c r="F30" s="1351"/>
      <c r="G30" s="1351"/>
      <c r="H30" s="1351"/>
      <c r="I30" s="1351"/>
      <c r="J30" s="1351"/>
      <c r="K30" s="1351"/>
      <c r="L30" s="1351"/>
      <c r="M30" s="1351"/>
      <c r="N30" s="1351"/>
    </row>
    <row r="31" spans="2:23" ht="18" customHeight="1">
      <c r="B31" s="1349"/>
      <c r="C31" s="1148"/>
      <c r="D31" s="1932" t="s">
        <v>18</v>
      </c>
      <c r="E31" s="1932"/>
      <c r="F31" s="1352"/>
      <c r="G31" s="1932" t="s">
        <v>532</v>
      </c>
      <c r="H31" s="1932"/>
      <c r="I31" s="1932"/>
      <c r="J31" s="1932"/>
      <c r="K31" s="1932"/>
      <c r="L31" s="1932"/>
      <c r="M31" s="1352"/>
      <c r="N31" s="135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481"/>
    </row>
    <row r="38" spans="2:14">
      <c r="B38" s="481"/>
    </row>
    <row r="39" spans="2:14">
      <c r="B39" s="1349"/>
      <c r="C39" s="1148"/>
      <c r="D39" s="1148"/>
      <c r="E39" s="1148"/>
      <c r="F39" s="1148"/>
      <c r="G39" s="1148"/>
      <c r="H39" s="1148"/>
      <c r="I39" s="1148"/>
      <c r="J39" s="1148"/>
      <c r="K39" s="1148"/>
      <c r="L39" s="1148"/>
      <c r="M39" s="1148"/>
      <c r="N39" s="1148"/>
    </row>
    <row r="40" spans="2:14" ht="15.6">
      <c r="B40" s="1928" t="s">
        <v>322</v>
      </c>
      <c r="C40" s="1928"/>
      <c r="D40" s="1928"/>
      <c r="E40" s="1928"/>
      <c r="F40" s="1928"/>
      <c r="G40" s="1928"/>
      <c r="H40" s="1928"/>
      <c r="I40" s="1928"/>
      <c r="J40" s="1928"/>
      <c r="K40" s="1928"/>
      <c r="L40" s="1928"/>
      <c r="M40" s="1928"/>
      <c r="N40" s="1928"/>
    </row>
    <row r="41" spans="2:14">
      <c r="B41" s="1349"/>
      <c r="C41" s="1148"/>
      <c r="D41" s="1148"/>
      <c r="E41" s="1148"/>
      <c r="F41" s="1148"/>
      <c r="G41" s="1148"/>
      <c r="H41" s="1148"/>
      <c r="I41" s="1148"/>
      <c r="J41" s="1148"/>
      <c r="K41" s="1148"/>
      <c r="L41" s="1148"/>
      <c r="M41" s="1148"/>
      <c r="N41" s="1148"/>
    </row>
    <row r="42" spans="2:14">
      <c r="B42" s="1349"/>
      <c r="C42" s="1148"/>
      <c r="D42" s="1148"/>
      <c r="E42" s="1148"/>
      <c r="F42" s="1148"/>
      <c r="G42" s="1148"/>
      <c r="H42" s="1148"/>
      <c r="I42" s="1148"/>
      <c r="J42" s="1148"/>
      <c r="K42" s="1148"/>
      <c r="L42" s="1148"/>
      <c r="M42" s="1148"/>
      <c r="N42" s="1143" t="s">
        <v>538</v>
      </c>
    </row>
    <row r="43" spans="2:14">
      <c r="B43" s="1349"/>
      <c r="C43" s="1148"/>
      <c r="D43" s="1148"/>
      <c r="E43" s="1148"/>
      <c r="F43" s="1148"/>
      <c r="G43" s="1148"/>
      <c r="H43" s="1148"/>
      <c r="I43" s="1148"/>
      <c r="J43" s="1148"/>
      <c r="K43" s="1148"/>
      <c r="L43" s="1148"/>
      <c r="M43" s="1148"/>
      <c r="N43" s="1143" t="s">
        <v>539</v>
      </c>
    </row>
    <row r="44" spans="2:14">
      <c r="B44" s="1349"/>
      <c r="C44" s="1148"/>
      <c r="D44" s="1931" t="s">
        <v>535</v>
      </c>
      <c r="E44" s="1931"/>
      <c r="F44" s="1148"/>
      <c r="G44" s="1148"/>
      <c r="H44" s="1931" t="s">
        <v>536</v>
      </c>
      <c r="I44" s="1931"/>
      <c r="J44" s="1347" t="s">
        <v>537</v>
      </c>
      <c r="K44" s="1148"/>
      <c r="L44" s="1347" t="s">
        <v>533</v>
      </c>
      <c r="M44" s="1148"/>
      <c r="N44" s="1347" t="str">
        <f>"Year "&amp;TEXT('KEY INPUTS'!D34,"0")&amp;""</f>
        <v>Year 2019</v>
      </c>
    </row>
    <row r="45" spans="2:14">
      <c r="B45" s="1349"/>
      <c r="C45" s="1148"/>
      <c r="D45" s="1148"/>
      <c r="E45" s="1148"/>
      <c r="F45" s="1148"/>
      <c r="G45" s="1148"/>
      <c r="H45" s="1148"/>
      <c r="I45" s="1148"/>
      <c r="J45" s="1148"/>
      <c r="K45" s="1148"/>
      <c r="L45" s="1148"/>
      <c r="M45" s="1148"/>
      <c r="N45" s="114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TJ6sJIPwLIkjQconQZiQQOtHf9yeX9o3khReCt9UfHGcmonEXuDke9aR7i9205kShoE0eDfmJK7V/rrhRKXT4Q==" saltValue="n5NlgdhDz5tXZjyk1ocNw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1">
    <tabColor theme="5" tint="0.59999389629810485"/>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INPUTS'!D54)&amp;" UTILITY  ASSESSMENT  BONDS"</f>
        <v xml:space="preserve"> UTILITY  ASSESSMENT  BONDS</v>
      </c>
      <c r="C4" s="1762"/>
      <c r="D4" s="1762"/>
      <c r="E4" s="1762"/>
      <c r="F4" s="1762"/>
      <c r="G4" s="1762"/>
      <c r="H4" s="1762"/>
      <c r="I4" s="1762"/>
      <c r="J4" s="1762"/>
      <c r="K4" s="1762"/>
      <c r="L4" s="1762"/>
    </row>
    <row r="5" spans="2:21" ht="9.75" customHeight="1" thickBot="1">
      <c r="B5" s="1381"/>
      <c r="C5" s="1381"/>
      <c r="D5" s="1381"/>
      <c r="E5" s="1381"/>
      <c r="F5" s="1381"/>
      <c r="G5" s="1381"/>
      <c r="H5" s="1381"/>
      <c r="I5" s="1381"/>
      <c r="J5" s="1381"/>
      <c r="K5" s="1381"/>
      <c r="L5" s="1381"/>
    </row>
    <row r="6" spans="2:21" ht="27.75" customHeight="1" thickTop="1" thickBot="1">
      <c r="B6" s="1335"/>
      <c r="C6" s="1335"/>
      <c r="D6" s="1335"/>
      <c r="E6" s="1335"/>
      <c r="F6" s="1335"/>
      <c r="G6" s="1117" t="s">
        <v>125</v>
      </c>
      <c r="H6" s="1933" t="s">
        <v>126</v>
      </c>
      <c r="I6" s="1764"/>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72"/>
      <c r="D7" s="1172"/>
      <c r="E7" s="1172"/>
      <c r="F7" s="1172"/>
      <c r="G7" s="1173" t="s">
        <v>788</v>
      </c>
      <c r="H7" s="1706"/>
      <c r="I7" s="1707"/>
      <c r="O7" s="322"/>
      <c r="P7" s="322"/>
      <c r="Q7" s="322"/>
      <c r="R7" s="322"/>
      <c r="S7" s="322"/>
      <c r="T7" s="322"/>
      <c r="U7" s="322"/>
    </row>
    <row r="8" spans="2:21" ht="21" customHeight="1">
      <c r="B8" s="691" t="s">
        <v>113</v>
      </c>
      <c r="C8" s="691"/>
      <c r="D8" s="691"/>
      <c r="E8" s="691"/>
      <c r="F8" s="691"/>
      <c r="G8" s="1176" t="s">
        <v>788</v>
      </c>
      <c r="H8" s="1680"/>
      <c r="I8" s="1681"/>
      <c r="O8" s="377"/>
      <c r="P8" s="322"/>
      <c r="Q8" s="322"/>
      <c r="R8" s="322"/>
      <c r="S8" s="322"/>
      <c r="T8" s="322"/>
      <c r="U8" s="322"/>
    </row>
    <row r="9" spans="2:21" ht="21" customHeight="1">
      <c r="B9" s="691"/>
      <c r="C9" s="691"/>
      <c r="D9" s="691"/>
      <c r="E9" s="691"/>
      <c r="F9" s="691"/>
      <c r="G9" s="1176"/>
      <c r="H9" s="1382"/>
      <c r="I9" s="1230"/>
      <c r="O9" s="322"/>
      <c r="P9" s="322"/>
      <c r="Q9" s="322"/>
      <c r="R9" s="322"/>
      <c r="S9" s="322"/>
      <c r="T9" s="322"/>
      <c r="U9" s="322"/>
    </row>
    <row r="10" spans="2:21" ht="21" customHeight="1">
      <c r="B10" s="691" t="s">
        <v>326</v>
      </c>
      <c r="C10" s="691"/>
      <c r="D10" s="691"/>
      <c r="E10" s="691"/>
      <c r="F10" s="691"/>
      <c r="G10" s="601"/>
      <c r="H10" s="1831" t="s">
        <v>788</v>
      </c>
      <c r="I10" s="1832"/>
      <c r="O10" s="322"/>
      <c r="P10" s="322"/>
      <c r="Q10" s="322"/>
      <c r="R10" s="322"/>
      <c r="S10" s="322"/>
      <c r="T10" s="322"/>
      <c r="U10" s="322"/>
    </row>
    <row r="11" spans="2:21" ht="21" customHeight="1" thickBot="1">
      <c r="B11" s="691" t="str">
        <f>'KEY INPUTS'!D28</f>
        <v>Outstanding - December 31, 2019</v>
      </c>
      <c r="C11" s="691"/>
      <c r="D11" s="691"/>
      <c r="E11" s="691"/>
      <c r="F11" s="691"/>
      <c r="G11" s="1131">
        <f>+H7+H8-G10</f>
        <v>0</v>
      </c>
      <c r="H11" s="1833" t="s">
        <v>788</v>
      </c>
      <c r="I11" s="1834"/>
      <c r="O11" s="322"/>
      <c r="P11" s="322"/>
      <c r="Q11" s="322"/>
      <c r="R11" s="322"/>
      <c r="S11" s="322"/>
      <c r="T11" s="322"/>
      <c r="U11" s="322"/>
    </row>
    <row r="12" spans="2:21" ht="21" customHeight="1" thickBot="1">
      <c r="B12" s="1116"/>
      <c r="C12" s="1116"/>
      <c r="D12" s="1116"/>
      <c r="E12" s="1116"/>
      <c r="F12" s="1116"/>
      <c r="G12" s="1133">
        <f>SUM(G7:G11)</f>
        <v>0</v>
      </c>
      <c r="H12" s="1838">
        <f>SUM(H7:I11)</f>
        <v>0</v>
      </c>
      <c r="I12" s="1839"/>
      <c r="O12" s="322"/>
      <c r="P12" s="322"/>
      <c r="Q12" s="322"/>
      <c r="R12" s="322"/>
      <c r="S12" s="322"/>
      <c r="T12" s="322"/>
      <c r="U12" s="322"/>
    </row>
    <row r="13" spans="2:21" ht="21" customHeight="1" thickTop="1">
      <c r="B13" s="1384" t="str">
        <f>TEXT('KEY INPUTS'!D34+1,"0")&amp;" Bond Maturities - Assessment Bonds"</f>
        <v>2020 Bond Maturities - Assessment Bonds</v>
      </c>
      <c r="C13" s="1130"/>
      <c r="D13" s="1130"/>
      <c r="E13" s="1130"/>
      <c r="F13" s="1130"/>
      <c r="G13" s="1130"/>
      <c r="H13" s="1130"/>
      <c r="I13" s="1383"/>
      <c r="J13" s="451" t="s">
        <v>482</v>
      </c>
      <c r="K13" s="1715"/>
      <c r="L13" s="1715"/>
      <c r="O13" s="322"/>
      <c r="P13" s="322"/>
      <c r="Q13" s="322"/>
      <c r="R13" s="322"/>
      <c r="S13" s="322"/>
      <c r="T13" s="322"/>
      <c r="U13" s="322"/>
    </row>
    <row r="14" spans="2:21" ht="21" customHeight="1" thickBot="1">
      <c r="B14" s="1385" t="str">
        <f>TEXT('KEY INPUTS'!D34+1,"0")&amp;" Interest on Bonds"</f>
        <v>2020 Interest on Bonds</v>
      </c>
      <c r="C14" s="1234"/>
      <c r="D14" s="1234"/>
      <c r="E14" s="1234"/>
      <c r="F14" s="1234"/>
      <c r="G14" s="1259"/>
      <c r="H14" s="488" t="s">
        <v>482</v>
      </c>
      <c r="I14" s="608"/>
      <c r="O14" s="322"/>
      <c r="P14" s="322"/>
      <c r="Q14" s="322"/>
      <c r="R14" s="322"/>
      <c r="S14" s="322"/>
      <c r="T14" s="322"/>
      <c r="U14" s="322"/>
    </row>
    <row r="15" spans="2:21" ht="16.5" customHeight="1" thickTop="1">
      <c r="B15" s="1952"/>
      <c r="C15" s="1952"/>
      <c r="D15" s="1952"/>
      <c r="E15" s="1952"/>
      <c r="F15" s="1952"/>
      <c r="G15" s="1952"/>
      <c r="H15" s="1952"/>
      <c r="I15" s="1953"/>
      <c r="O15" s="322"/>
      <c r="P15" s="322"/>
      <c r="Q15" s="322"/>
      <c r="R15" s="322"/>
      <c r="S15" s="322"/>
      <c r="T15" s="322"/>
      <c r="U15" s="322"/>
    </row>
    <row r="16" spans="2:21" ht="26.25" customHeight="1" thickBot="1">
      <c r="B16" s="1936" t="str">
        <f>UPPER('KEY INPUTS'!D54) &amp;" UTILITY  CAPITAL  BONDS"</f>
        <v xml:space="preserve"> UTILITY  CAPITAL  BONDS</v>
      </c>
      <c r="C16" s="1936"/>
      <c r="D16" s="1936"/>
      <c r="E16" s="1936"/>
      <c r="F16" s="1936"/>
      <c r="G16" s="1936"/>
      <c r="H16" s="1936"/>
      <c r="I16" s="1937"/>
      <c r="O16" s="322"/>
      <c r="P16" s="322"/>
      <c r="Q16" s="322"/>
      <c r="R16" s="322"/>
      <c r="S16" s="322"/>
      <c r="T16" s="322"/>
      <c r="U16" s="322"/>
    </row>
    <row r="17" spans="2:21" ht="21" customHeight="1" thickTop="1">
      <c r="B17" s="1213" t="str">
        <f>'KEY INPUTS'!D27</f>
        <v>Outstanding - January 1, 2019</v>
      </c>
      <c r="C17" s="1172"/>
      <c r="D17" s="1172"/>
      <c r="E17" s="1172"/>
      <c r="F17" s="1172"/>
      <c r="G17" s="1173" t="s">
        <v>788</v>
      </c>
      <c r="H17" s="1706"/>
      <c r="I17" s="1707"/>
      <c r="O17" s="322"/>
      <c r="P17" s="322"/>
      <c r="Q17" s="322"/>
      <c r="R17" s="322"/>
      <c r="S17" s="322"/>
      <c r="T17" s="322"/>
      <c r="U17" s="322"/>
    </row>
    <row r="18" spans="2:21" ht="21" customHeight="1">
      <c r="B18" s="691" t="s">
        <v>113</v>
      </c>
      <c r="C18" s="691"/>
      <c r="D18" s="691"/>
      <c r="E18" s="691"/>
      <c r="F18" s="691"/>
      <c r="G18" s="1176" t="s">
        <v>788</v>
      </c>
      <c r="H18" s="1680"/>
      <c r="I18" s="1681"/>
      <c r="O18" s="322"/>
      <c r="P18" s="322"/>
      <c r="Q18" s="322"/>
      <c r="R18" s="322"/>
      <c r="S18" s="322"/>
      <c r="T18" s="322"/>
      <c r="U18" s="322"/>
    </row>
    <row r="19" spans="2:21" ht="21" customHeight="1">
      <c r="B19" s="691" t="s">
        <v>326</v>
      </c>
      <c r="C19" s="691"/>
      <c r="D19" s="691"/>
      <c r="E19" s="691"/>
      <c r="F19" s="691"/>
      <c r="G19" s="601"/>
      <c r="H19" s="1831" t="s">
        <v>788</v>
      </c>
      <c r="I19" s="1832"/>
      <c r="O19" s="322"/>
      <c r="P19" s="322"/>
      <c r="Q19" s="322"/>
      <c r="R19" s="322"/>
      <c r="S19" s="322"/>
      <c r="T19" s="322"/>
      <c r="U19" s="322"/>
    </row>
    <row r="20" spans="2:21" ht="21" customHeight="1">
      <c r="B20" s="691"/>
      <c r="C20" s="691"/>
      <c r="D20" s="691"/>
      <c r="E20" s="691"/>
      <c r="F20" s="691"/>
      <c r="G20" s="690"/>
      <c r="H20" s="1840"/>
      <c r="I20" s="1841"/>
      <c r="O20" s="322"/>
      <c r="P20" s="322"/>
      <c r="Q20" s="322"/>
      <c r="R20" s="322"/>
      <c r="S20" s="322"/>
      <c r="T20" s="322"/>
      <c r="U20" s="322"/>
    </row>
    <row r="21" spans="2:21" ht="21" customHeight="1">
      <c r="B21" s="691"/>
      <c r="C21" s="691"/>
      <c r="D21" s="691"/>
      <c r="E21" s="691"/>
      <c r="F21" s="691"/>
      <c r="G21" s="690"/>
      <c r="H21" s="1840"/>
      <c r="I21" s="1841"/>
      <c r="O21" s="322"/>
      <c r="P21" s="322"/>
      <c r="Q21" s="322"/>
      <c r="R21" s="322"/>
      <c r="S21" s="322"/>
      <c r="T21" s="322"/>
      <c r="U21" s="322"/>
    </row>
    <row r="22" spans="2:21" ht="21" customHeight="1" thickBot="1">
      <c r="B22" s="691" t="str">
        <f>'KEY INPUTS'!D28</f>
        <v>Outstanding - December 31, 2019</v>
      </c>
      <c r="C22" s="691"/>
      <c r="D22" s="691"/>
      <c r="E22" s="691"/>
      <c r="F22" s="691"/>
      <c r="G22" s="1131">
        <f>+H17+H18-G19-G20-G21+H20+H21</f>
        <v>0</v>
      </c>
      <c r="H22" s="1833" t="s">
        <v>788</v>
      </c>
      <c r="I22" s="1834"/>
      <c r="O22" s="322"/>
      <c r="P22" s="322"/>
      <c r="Q22" s="322"/>
      <c r="R22" s="322"/>
      <c r="S22" s="322"/>
      <c r="T22" s="322"/>
      <c r="U22" s="322"/>
    </row>
    <row r="23" spans="2:21" ht="21" customHeight="1" thickBot="1">
      <c r="B23" s="1116"/>
      <c r="C23" s="1116"/>
      <c r="D23" s="1116"/>
      <c r="E23" s="1116"/>
      <c r="F23" s="1116"/>
      <c r="G23" s="1133">
        <f>SUM(G17:G22)</f>
        <v>0</v>
      </c>
      <c r="H23" s="1838">
        <f>SUM(H17:I22)</f>
        <v>0</v>
      </c>
      <c r="I23" s="1839"/>
    </row>
    <row r="24" spans="2:21" ht="21" customHeight="1" thickTop="1">
      <c r="B24" s="1384" t="str">
        <f>TEXT('KEY INPUTS'!D34+1,"0")&amp;" Bond Maturities - Capital Bonds"</f>
        <v>2020 Bond Maturities - Capital Bonds</v>
      </c>
      <c r="C24" s="1130"/>
      <c r="D24" s="1130"/>
      <c r="E24" s="1130"/>
      <c r="F24" s="1130"/>
      <c r="G24" s="1130"/>
      <c r="H24" s="1130"/>
      <c r="I24" s="1386"/>
      <c r="J24" s="451" t="s">
        <v>482</v>
      </c>
      <c r="K24" s="1715"/>
      <c r="L24" s="1715"/>
    </row>
    <row r="25" spans="2:21" ht="21" customHeight="1" thickBot="1">
      <c r="B25" s="1385" t="str">
        <f>TEXT('KEY INPUTS'!D34+1,"0")&amp;" Interest on Bonds"</f>
        <v>2020 Interest on Bonds</v>
      </c>
      <c r="C25" s="1234"/>
      <c r="D25" s="1234"/>
      <c r="E25" s="1234"/>
      <c r="F25" s="1234"/>
      <c r="G25" s="1259"/>
      <c r="H25" s="488" t="s">
        <v>482</v>
      </c>
      <c r="I25" s="608"/>
      <c r="J25" s="489"/>
      <c r="K25" s="488"/>
      <c r="L25" s="498" t="s">
        <v>3408</v>
      </c>
    </row>
    <row r="26" spans="2:21" ht="21" customHeight="1" thickTop="1"/>
    <row r="27" spans="2:21" ht="19.5" customHeight="1" thickBot="1">
      <c r="B27" s="1936" t="str">
        <f>"INTEREST  ON  BONDS  -  "&amp;UPPER('KEY INPUTS'!D54)&amp;"  UTILITY  BUDGET"</f>
        <v>INTEREST  ON  BONDS  -    UTILITY  BUDGET</v>
      </c>
      <c r="C27" s="1936"/>
      <c r="D27" s="1936"/>
      <c r="E27" s="1936"/>
      <c r="F27" s="1936"/>
      <c r="G27" s="1936"/>
      <c r="H27" s="1936"/>
      <c r="I27" s="1936"/>
      <c r="J27" s="1936"/>
      <c r="K27" s="1936"/>
      <c r="L27" s="1936"/>
    </row>
    <row r="28" spans="2:21" ht="21" customHeight="1" thickTop="1">
      <c r="B28" s="1396" t="str">
        <f>TEXT('KEY INPUTS'!D34+1,"0")&amp;" Interest on Bonds (*Items)"</f>
        <v>2020 Interest on Bonds (*Items)</v>
      </c>
      <c r="C28" s="1172"/>
      <c r="D28" s="1172"/>
      <c r="E28" s="1172"/>
      <c r="F28" s="1172"/>
      <c r="G28" s="1172"/>
      <c r="H28" s="457" t="s">
        <v>482</v>
      </c>
      <c r="I28" s="1232">
        <f>+I14+I25</f>
        <v>0</v>
      </c>
      <c r="J28" s="1116"/>
      <c r="K28" s="1116"/>
      <c r="L28" s="1116"/>
      <c r="O28" s="464"/>
      <c r="P28" s="464"/>
      <c r="Q28" s="464"/>
      <c r="R28" s="464"/>
    </row>
    <row r="29" spans="2:21" ht="21" customHeight="1">
      <c r="B29" s="916" t="str">
        <f>"Less: Interest Accrued to "&amp;TEXT('KEY INPUTS'!D29,"mm/dd/yyy")&amp;" (Trial Balance)"</f>
        <v>Less: Interest Accrued to 12/31/2019 (Trial Balance)</v>
      </c>
      <c r="C29" s="691"/>
      <c r="D29" s="691"/>
      <c r="E29" s="691"/>
      <c r="F29" s="691"/>
      <c r="G29" s="691"/>
      <c r="H29" s="402" t="s">
        <v>482</v>
      </c>
      <c r="I29" s="673"/>
      <c r="O29" s="464"/>
      <c r="P29" s="464"/>
      <c r="Q29" s="464"/>
      <c r="R29" s="464"/>
    </row>
    <row r="30" spans="2:21" ht="21" customHeight="1">
      <c r="B30" s="691"/>
      <c r="C30" s="691" t="s">
        <v>421</v>
      </c>
      <c r="D30" s="691"/>
      <c r="E30" s="691"/>
      <c r="F30" s="691"/>
      <c r="G30" s="691"/>
      <c r="H30" s="402" t="s">
        <v>482</v>
      </c>
      <c r="I30" s="1233">
        <f>+I28-I29</f>
        <v>0</v>
      </c>
      <c r="O30" s="464"/>
      <c r="P30" s="464"/>
      <c r="Q30" s="464"/>
      <c r="R30" s="464"/>
    </row>
    <row r="31" spans="2:21" ht="21" customHeight="1">
      <c r="B31" s="916" t="str">
        <f>"Add: Interest to be Accrued as of "&amp;TEXT('KEY INPUTS'!D30,"mm/dd/yyyy")&amp;""</f>
        <v>Add: Interest to be Accrued as of 12/31/2020</v>
      </c>
      <c r="C31" s="691"/>
      <c r="D31" s="691"/>
      <c r="E31" s="691"/>
      <c r="F31" s="691"/>
      <c r="G31" s="691"/>
      <c r="H31" s="402" t="s">
        <v>482</v>
      </c>
      <c r="I31" s="673"/>
      <c r="O31" s="464"/>
      <c r="P31" s="464"/>
      <c r="Q31" s="464"/>
      <c r="R31" s="464"/>
    </row>
    <row r="32" spans="2:21" ht="21" customHeight="1">
      <c r="B32" s="916" t="str">
        <f>"Required Appropriation "&amp;TEXT('KEY INPUTS'!D34+1,"0")</f>
        <v>Required Appropriation 2020</v>
      </c>
      <c r="C32" s="691"/>
      <c r="D32" s="691"/>
      <c r="E32" s="691"/>
      <c r="F32" s="691"/>
      <c r="G32" s="691"/>
      <c r="H32" s="691"/>
      <c r="I32" s="1416"/>
      <c r="J32" s="491" t="s">
        <v>482</v>
      </c>
      <c r="K32" s="1825">
        <f>+I30+I31</f>
        <v>0</v>
      </c>
      <c r="L32" s="1826"/>
      <c r="O32" s="464"/>
      <c r="P32" s="464"/>
      <c r="Q32" s="464"/>
      <c r="R32" s="464"/>
    </row>
    <row r="33" spans="2:12" ht="13.5" customHeight="1">
      <c r="B33" s="467"/>
      <c r="C33" s="467"/>
      <c r="D33" s="467"/>
      <c r="E33" s="467"/>
      <c r="F33" s="467"/>
      <c r="G33" s="467"/>
      <c r="H33" s="467"/>
      <c r="I33" s="467"/>
      <c r="J33" s="467"/>
      <c r="K33" s="495"/>
      <c r="L33" s="785"/>
    </row>
    <row r="34" spans="2:12" ht="13.5" customHeight="1">
      <c r="B34" s="467"/>
      <c r="C34" s="467"/>
      <c r="D34" s="467"/>
      <c r="E34" s="467"/>
      <c r="F34" s="467"/>
      <c r="G34" s="467"/>
      <c r="H34" s="467"/>
      <c r="I34" s="467"/>
      <c r="J34" s="467"/>
      <c r="K34" s="495"/>
      <c r="L34" s="785"/>
    </row>
    <row r="35" spans="2:12" ht="21" customHeight="1" thickBot="1">
      <c r="B35" s="1939" t="str">
        <f>"LIST  OF  BONDS  ISSUED  DURING  "&amp;TEXT('KEY INPUTS'!D34,"0")&amp;""</f>
        <v>LIST  OF  BONDS  ISSUED  DURING  2019</v>
      </c>
      <c r="C35" s="1939"/>
      <c r="D35" s="1939"/>
      <c r="E35" s="1939"/>
      <c r="F35" s="1939"/>
      <c r="G35" s="1939"/>
      <c r="H35" s="1939"/>
      <c r="I35" s="1939"/>
      <c r="J35" s="1939"/>
      <c r="K35" s="1939"/>
      <c r="L35" s="1939"/>
    </row>
    <row r="36" spans="2:12" ht="27" customHeight="1" thickTop="1" thickBot="1">
      <c r="B36" s="1763" t="s">
        <v>532</v>
      </c>
      <c r="C36" s="1763"/>
      <c r="D36" s="1763"/>
      <c r="E36" s="1763"/>
      <c r="F36" s="1763"/>
      <c r="G36" s="1399" t="str">
        <f>TEXT('KEY INPUTS'!D34,"0")&amp;" Maturity"</f>
        <v>2019 Maturity</v>
      </c>
      <c r="H36" s="1933" t="s">
        <v>109</v>
      </c>
      <c r="I36" s="1764"/>
      <c r="J36" s="1954" t="s">
        <v>107</v>
      </c>
      <c r="K36" s="1955"/>
      <c r="L36" s="1415"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234"/>
      <c r="C41" s="1234"/>
      <c r="D41" s="1234"/>
      <c r="E41" s="1234"/>
      <c r="F41" s="1387"/>
      <c r="G41" s="1133">
        <f>SUM(G37:G40)</f>
        <v>0</v>
      </c>
      <c r="H41" s="1821">
        <f>SUM(H37:I40)</f>
        <v>0</v>
      </c>
      <c r="I41" s="1822"/>
      <c r="J41" s="1388"/>
      <c r="K41" s="1234"/>
      <c r="L41" s="1235"/>
    </row>
    <row r="42" spans="2:12" ht="13.8" thickTop="1">
      <c r="G42" s="784"/>
      <c r="H42" s="784"/>
      <c r="I42" s="784"/>
    </row>
    <row r="50" spans="2:12" ht="13.8">
      <c r="B50" s="1766" t="s">
        <v>3446</v>
      </c>
      <c r="C50" s="1766"/>
      <c r="D50" s="1766"/>
      <c r="E50" s="1766"/>
      <c r="F50" s="1766"/>
      <c r="G50" s="1766"/>
      <c r="H50" s="1766"/>
      <c r="I50" s="1766"/>
      <c r="J50" s="1766"/>
      <c r="K50" s="1766"/>
      <c r="L50" s="1766"/>
    </row>
  </sheetData>
  <sheetProtection password="CAF9"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2">
    <tabColor theme="5" tint="0.59999389629810485"/>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INPUTS'!D$54)&amp;"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O7" s="322"/>
      <c r="P7" s="322"/>
      <c r="Q7" s="322"/>
      <c r="R7" s="322"/>
      <c r="S7" s="322"/>
      <c r="T7" s="322"/>
      <c r="U7" s="322"/>
    </row>
    <row r="8" spans="2:21" ht="21" customHeight="1">
      <c r="B8" s="691" t="s">
        <v>113</v>
      </c>
      <c r="C8" s="1141"/>
      <c r="D8" s="1141"/>
      <c r="E8" s="1141"/>
      <c r="F8" s="1141"/>
      <c r="G8" s="975" t="s">
        <v>788</v>
      </c>
      <c r="H8" s="1680"/>
      <c r="I8" s="1681"/>
      <c r="O8" s="377"/>
      <c r="P8" s="322"/>
      <c r="Q8" s="322"/>
      <c r="R8" s="322"/>
      <c r="S8" s="322"/>
      <c r="T8" s="322"/>
      <c r="U8" s="322"/>
    </row>
    <row r="9" spans="2:21" ht="21" customHeight="1">
      <c r="B9" s="691"/>
      <c r="C9" s="1141"/>
      <c r="D9" s="1141"/>
      <c r="E9" s="1141"/>
      <c r="F9" s="1141"/>
      <c r="G9" s="975"/>
      <c r="H9" s="1391"/>
      <c r="I9" s="1392"/>
      <c r="O9" s="322"/>
      <c r="P9" s="322"/>
      <c r="Q9" s="322"/>
      <c r="R9" s="322"/>
      <c r="S9" s="322"/>
      <c r="T9" s="322"/>
      <c r="U9" s="322"/>
    </row>
    <row r="10" spans="2:21" ht="21" customHeight="1">
      <c r="B10" s="691" t="s">
        <v>326</v>
      </c>
      <c r="C10" s="1141"/>
      <c r="D10" s="1141"/>
      <c r="E10" s="1141"/>
      <c r="F10" s="1141"/>
      <c r="G10" s="601"/>
      <c r="H10" s="1686" t="s">
        <v>788</v>
      </c>
      <c r="I10" s="1687"/>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O11" s="322"/>
      <c r="P11" s="322"/>
      <c r="Q11" s="322"/>
      <c r="R11" s="322"/>
      <c r="S11" s="322"/>
      <c r="T11" s="322"/>
      <c r="U11" s="322"/>
    </row>
    <row r="12" spans="2:21" ht="21" customHeight="1" thickBot="1">
      <c r="B12" s="1116"/>
      <c r="C12" s="1148"/>
      <c r="D12" s="1148"/>
      <c r="E12" s="1148"/>
      <c r="F12" s="1148"/>
      <c r="G12" s="137">
        <f>SUM(G7:G11)</f>
        <v>0</v>
      </c>
      <c r="H12" s="1684">
        <f>SUM(H7:I11)</f>
        <v>0</v>
      </c>
      <c r="I12" s="1685"/>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936" t="str">
        <f>UPPER('KEY INPUTS'!D$54)&amp;"  UTILITY"&amp;" ________________ LOAN"</f>
        <v xml:space="preserve">  UTILITY ________________ LOAN</v>
      </c>
      <c r="C16" s="1936"/>
      <c r="D16" s="1936"/>
      <c r="E16" s="1936"/>
      <c r="F16" s="1936"/>
      <c r="G16" s="1936"/>
      <c r="H16" s="1936"/>
      <c r="I16" s="1937"/>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O17" s="322"/>
      <c r="P17" s="322"/>
      <c r="Q17" s="322"/>
      <c r="R17" s="322"/>
      <c r="S17" s="322"/>
      <c r="T17" s="322"/>
      <c r="U17" s="322"/>
    </row>
    <row r="18" spans="2:21" ht="21" customHeight="1">
      <c r="B18" s="691" t="s">
        <v>113</v>
      </c>
      <c r="C18" s="1141"/>
      <c r="D18" s="1141"/>
      <c r="E18" s="1141"/>
      <c r="F18" s="1141"/>
      <c r="G18" s="975" t="s">
        <v>788</v>
      </c>
      <c r="H18" s="1680"/>
      <c r="I18" s="1681"/>
      <c r="O18" s="322"/>
      <c r="P18" s="322"/>
      <c r="Q18" s="322"/>
      <c r="R18" s="322"/>
      <c r="S18" s="322"/>
      <c r="T18" s="322"/>
      <c r="U18" s="322"/>
    </row>
    <row r="19" spans="2:21" ht="21" customHeight="1">
      <c r="B19" s="691" t="s">
        <v>326</v>
      </c>
      <c r="C19" s="1141"/>
      <c r="D19" s="1141"/>
      <c r="E19" s="1141"/>
      <c r="F19" s="1141"/>
      <c r="G19" s="601"/>
      <c r="H19" s="1686" t="s">
        <v>788</v>
      </c>
      <c r="I19" s="1687"/>
      <c r="O19" s="322"/>
      <c r="P19" s="322"/>
      <c r="Q19" s="322"/>
      <c r="R19" s="322"/>
      <c r="S19" s="322"/>
      <c r="T19" s="322"/>
      <c r="U19" s="322"/>
    </row>
    <row r="20" spans="2:21" ht="21" customHeight="1">
      <c r="B20" s="691"/>
      <c r="C20" s="1141"/>
      <c r="D20" s="1141"/>
      <c r="E20" s="1141"/>
      <c r="F20" s="1141"/>
      <c r="G20" s="1107"/>
      <c r="H20" s="1708"/>
      <c r="I20" s="1709"/>
      <c r="O20" s="322"/>
      <c r="P20" s="322"/>
      <c r="Q20" s="322"/>
      <c r="R20" s="322"/>
      <c r="S20" s="322"/>
      <c r="T20" s="322"/>
      <c r="U20" s="322"/>
    </row>
    <row r="21" spans="2:21" ht="21" customHeight="1">
      <c r="B21" s="691"/>
      <c r="C21" s="1141"/>
      <c r="D21" s="1141"/>
      <c r="E21" s="1141"/>
      <c r="F21" s="1141"/>
      <c r="G21" s="1107"/>
      <c r="H21" s="1708"/>
      <c r="I21" s="1709"/>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O22" s="322"/>
      <c r="P22" s="322"/>
      <c r="Q22" s="322"/>
      <c r="R22" s="322"/>
      <c r="S22" s="322"/>
      <c r="T22" s="322"/>
      <c r="U22" s="322"/>
    </row>
    <row r="23" spans="2:21" ht="21" customHeight="1" thickBot="1">
      <c r="B23" s="1116"/>
      <c r="C23" s="1148"/>
      <c r="D23" s="1148"/>
      <c r="E23" s="1148"/>
      <c r="F23" s="1148"/>
      <c r="G23" s="1085">
        <f>SUM(G17:G22)</f>
        <v>0</v>
      </c>
      <c r="H23" s="1684">
        <f>SUM(H17:I22)</f>
        <v>0</v>
      </c>
      <c r="I23" s="1685"/>
    </row>
    <row r="24" spans="2:21" ht="21" customHeight="1" thickTop="1">
      <c r="B24" s="1384" t="str">
        <f>TEXT('KEY INPUTS'!D34+1,"0")&amp;" Loan Maturities"</f>
        <v>2020 Loan Maturities</v>
      </c>
      <c r="C24" s="1393"/>
      <c r="D24" s="1393"/>
      <c r="E24" s="1393"/>
      <c r="F24" s="1393"/>
      <c r="G24" s="1393"/>
      <c r="H24" s="479"/>
      <c r="I24" s="515"/>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413"/>
      <c r="L25" s="413"/>
    </row>
    <row r="26" spans="2:21" ht="21" customHeight="1" thickTop="1"/>
    <row r="27" spans="2:21" ht="19.5" customHeight="1" thickBot="1">
      <c r="B27" s="1936" t="str">
        <f>"INTEREST  ON  LOANS  - "&amp;UPPER('KEY INPUTS'!D54)&amp;"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415" t="s">
        <v>482</v>
      </c>
      <c r="I28" s="1395">
        <f>+I25+I14</f>
        <v>0</v>
      </c>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row>
    <row r="30" spans="2:21" ht="21" customHeight="1">
      <c r="B30" s="691"/>
      <c r="C30" s="691" t="s">
        <v>421</v>
      </c>
      <c r="D30" s="1141"/>
      <c r="E30" s="1141"/>
      <c r="F30" s="1141"/>
      <c r="G30" s="1141"/>
      <c r="H30" s="334" t="s">
        <v>482</v>
      </c>
      <c r="I30" s="1397">
        <f>+I28-I29</f>
        <v>0</v>
      </c>
    </row>
    <row r="31" spans="2:21" ht="21" customHeight="1">
      <c r="B31" s="916" t="str">
        <f>"Add: Interest to be Accrued as of "&amp;TEXT('KEY INPUTS'!D30,"mm/dd/yyyy")&amp;""</f>
        <v>Add: Interest to be Accrued as of 12/31/2020</v>
      </c>
      <c r="C31" s="691"/>
      <c r="D31" s="1141"/>
      <c r="E31" s="1141"/>
      <c r="F31" s="1141"/>
      <c r="G31" s="1141"/>
      <c r="H31" s="334" t="s">
        <v>482</v>
      </c>
      <c r="I31" s="600"/>
    </row>
    <row r="32" spans="2:21" ht="21" customHeight="1">
      <c r="B32" s="916" t="str">
        <f>"Required Appropriation "&amp;TEXT('KEY INPUTS'!D34+1,"0")</f>
        <v>Required Appropriation 2020</v>
      </c>
      <c r="C32" s="691"/>
      <c r="D32" s="1141"/>
      <c r="E32" s="1141"/>
      <c r="F32" s="1141"/>
      <c r="G32" s="1141"/>
      <c r="H32" s="334"/>
      <c r="I32" s="414"/>
      <c r="J32" s="506" t="s">
        <v>482</v>
      </c>
      <c r="K32" s="1940">
        <f>+I30+I31</f>
        <v>0</v>
      </c>
      <c r="L32" s="1941"/>
    </row>
    <row r="33" spans="2:12" ht="13.5" customHeight="1">
      <c r="B33" s="510"/>
      <c r="C33" s="510"/>
      <c r="D33" s="510"/>
      <c r="E33" s="510"/>
      <c r="F33" s="510"/>
      <c r="G33" s="510"/>
      <c r="H33" s="510"/>
      <c r="I33" s="510"/>
      <c r="J33" s="510"/>
      <c r="K33" s="509"/>
      <c r="L33" s="789"/>
    </row>
    <row r="34" spans="2:12" ht="13.5" customHeight="1">
      <c r="B34" s="510"/>
      <c r="C34" s="510"/>
      <c r="D34" s="510"/>
      <c r="E34" s="510"/>
      <c r="F34" s="510"/>
      <c r="G34" s="510"/>
      <c r="H34" s="510"/>
      <c r="I34" s="510"/>
      <c r="J34" s="510"/>
      <c r="K34" s="509"/>
      <c r="L34" s="789"/>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3">
    <tabColor theme="5" tint="0.59999389629810485"/>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INPUTS'!D$54)&amp;"  UTILITY"&amp;" ________________ LOAN"</f>
        <v xml:space="preserve">  UTILITY ________________ LOAN</v>
      </c>
      <c r="C4" s="1762"/>
      <c r="D4" s="1762"/>
      <c r="E4" s="1762"/>
      <c r="F4" s="1762"/>
      <c r="G4" s="1762"/>
      <c r="H4" s="1762"/>
      <c r="I4" s="1762"/>
      <c r="J4" s="1762"/>
      <c r="K4" s="1762"/>
      <c r="L4" s="1762"/>
    </row>
    <row r="5" spans="2:21" ht="9.75" customHeight="1" thickBot="1">
      <c r="B5" s="809"/>
      <c r="C5" s="809"/>
      <c r="D5" s="809"/>
      <c r="E5" s="809"/>
      <c r="F5" s="809"/>
      <c r="G5" s="809"/>
      <c r="H5" s="809"/>
      <c r="I5" s="809"/>
      <c r="J5" s="809"/>
      <c r="K5" s="809"/>
      <c r="L5" s="80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O7" s="322"/>
      <c r="P7" s="322"/>
      <c r="Q7" s="322"/>
      <c r="R7" s="322"/>
      <c r="S7" s="322"/>
      <c r="T7" s="322"/>
      <c r="U7" s="322"/>
    </row>
    <row r="8" spans="2:21" ht="21" customHeight="1">
      <c r="B8" s="691" t="s">
        <v>113</v>
      </c>
      <c r="C8" s="1141"/>
      <c r="D8" s="1141"/>
      <c r="E8" s="1141"/>
      <c r="F8" s="1141"/>
      <c r="G8" s="975" t="s">
        <v>788</v>
      </c>
      <c r="H8" s="1680"/>
      <c r="I8" s="1681"/>
      <c r="O8" s="377"/>
      <c r="P8" s="322"/>
      <c r="Q8" s="322"/>
      <c r="R8" s="322"/>
      <c r="S8" s="322"/>
      <c r="T8" s="322"/>
      <c r="U8" s="322"/>
    </row>
    <row r="9" spans="2:21" ht="21" customHeight="1">
      <c r="B9" s="691"/>
      <c r="C9" s="1141"/>
      <c r="D9" s="1141"/>
      <c r="E9" s="1141"/>
      <c r="F9" s="1141"/>
      <c r="G9" s="975"/>
      <c r="H9" s="1391"/>
      <c r="I9" s="1392"/>
      <c r="O9" s="322"/>
      <c r="P9" s="322"/>
      <c r="Q9" s="322"/>
      <c r="R9" s="322"/>
      <c r="S9" s="322"/>
      <c r="T9" s="322"/>
      <c r="U9" s="322"/>
    </row>
    <row r="10" spans="2:21" ht="21" customHeight="1">
      <c r="B10" s="691" t="s">
        <v>326</v>
      </c>
      <c r="C10" s="1141"/>
      <c r="D10" s="1141"/>
      <c r="E10" s="1141"/>
      <c r="F10" s="1141"/>
      <c r="G10" s="601"/>
      <c r="H10" s="1686" t="s">
        <v>788</v>
      </c>
      <c r="I10" s="1687"/>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O11" s="322"/>
      <c r="P11" s="322"/>
      <c r="Q11" s="322"/>
      <c r="R11" s="322"/>
      <c r="S11" s="322"/>
      <c r="T11" s="322"/>
      <c r="U11" s="322"/>
    </row>
    <row r="12" spans="2:21" ht="21" customHeight="1" thickBot="1">
      <c r="B12" s="1116"/>
      <c r="C12" s="1148"/>
      <c r="D12" s="1148"/>
      <c r="E12" s="1148"/>
      <c r="F12" s="1148"/>
      <c r="G12" s="1085">
        <f>SUM(G7:G11)</f>
        <v>0</v>
      </c>
      <c r="H12" s="1684">
        <f>SUM(H7:I11)</f>
        <v>0</v>
      </c>
      <c r="I12" s="1685"/>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O14" s="322"/>
      <c r="P14" s="322"/>
      <c r="Q14" s="322"/>
      <c r="R14" s="322"/>
      <c r="S14" s="322"/>
      <c r="T14" s="322"/>
      <c r="U14" s="322"/>
    </row>
    <row r="15" spans="2:21" ht="16.5" customHeight="1" thickTop="1">
      <c r="B15" s="1859"/>
      <c r="C15" s="1859"/>
      <c r="D15" s="1859"/>
      <c r="E15" s="1859"/>
      <c r="F15" s="1859"/>
      <c r="G15" s="1859"/>
      <c r="H15" s="1859"/>
      <c r="I15" s="1860"/>
      <c r="O15" s="322"/>
      <c r="P15" s="322"/>
      <c r="Q15" s="322"/>
      <c r="R15" s="322"/>
      <c r="S15" s="322"/>
      <c r="T15" s="322"/>
      <c r="U15" s="322"/>
    </row>
    <row r="16" spans="2:21" ht="26.25" customHeight="1" thickBot="1">
      <c r="B16" s="1936" t="str">
        <f>UPPER('KEY INPUTS'!D$54)&amp;"  UTILITY"&amp;" ________________ LOAN"</f>
        <v xml:space="preserve">  UTILITY ________________ LOAN</v>
      </c>
      <c r="C16" s="1936"/>
      <c r="D16" s="1936"/>
      <c r="E16" s="1936"/>
      <c r="F16" s="1936"/>
      <c r="G16" s="1936"/>
      <c r="H16" s="1936"/>
      <c r="I16" s="1937"/>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O17" s="322"/>
      <c r="P17" s="322"/>
      <c r="Q17" s="322"/>
      <c r="R17" s="322"/>
      <c r="S17" s="322"/>
      <c r="T17" s="322"/>
      <c r="U17" s="322"/>
    </row>
    <row r="18" spans="2:21" ht="21" customHeight="1">
      <c r="B18" s="691" t="s">
        <v>113</v>
      </c>
      <c r="C18" s="1141"/>
      <c r="D18" s="1141"/>
      <c r="E18" s="1141"/>
      <c r="F18" s="1141"/>
      <c r="G18" s="975" t="s">
        <v>788</v>
      </c>
      <c r="H18" s="1680"/>
      <c r="I18" s="1681"/>
      <c r="O18" s="322"/>
      <c r="P18" s="322"/>
      <c r="Q18" s="322"/>
      <c r="R18" s="322"/>
      <c r="S18" s="322"/>
      <c r="T18" s="322"/>
      <c r="U18" s="322"/>
    </row>
    <row r="19" spans="2:21" ht="21" customHeight="1">
      <c r="B19" s="691" t="s">
        <v>326</v>
      </c>
      <c r="C19" s="1141"/>
      <c r="D19" s="1141"/>
      <c r="E19" s="1141"/>
      <c r="F19" s="1141"/>
      <c r="G19" s="601"/>
      <c r="H19" s="1686" t="s">
        <v>788</v>
      </c>
      <c r="I19" s="1687"/>
      <c r="O19" s="322"/>
      <c r="P19" s="322"/>
      <c r="Q19" s="322"/>
      <c r="R19" s="322"/>
      <c r="S19" s="322"/>
      <c r="T19" s="322"/>
      <c r="U19" s="322"/>
    </row>
    <row r="20" spans="2:21" ht="21" customHeight="1">
      <c r="B20" s="691"/>
      <c r="C20" s="1141"/>
      <c r="D20" s="1141"/>
      <c r="E20" s="1141"/>
      <c r="F20" s="1141"/>
      <c r="G20" s="1107"/>
      <c r="H20" s="1708"/>
      <c r="I20" s="1709"/>
      <c r="O20" s="322"/>
      <c r="P20" s="322"/>
      <c r="Q20" s="322"/>
      <c r="R20" s="322"/>
      <c r="S20" s="322"/>
      <c r="T20" s="322"/>
      <c r="U20" s="322"/>
    </row>
    <row r="21" spans="2:21" ht="21" customHeight="1">
      <c r="B21" s="691"/>
      <c r="C21" s="1141"/>
      <c r="D21" s="1141"/>
      <c r="E21" s="1141"/>
      <c r="F21" s="1141"/>
      <c r="G21" s="1107"/>
      <c r="H21" s="1708"/>
      <c r="I21" s="1709"/>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O22" s="322"/>
      <c r="P22" s="322"/>
      <c r="Q22" s="322"/>
      <c r="R22" s="322"/>
      <c r="S22" s="322"/>
      <c r="T22" s="322"/>
      <c r="U22" s="322"/>
    </row>
    <row r="23" spans="2:21" ht="21" customHeight="1" thickBot="1">
      <c r="B23" s="1116"/>
      <c r="C23" s="1148"/>
      <c r="D23" s="1148"/>
      <c r="E23" s="1148"/>
      <c r="F23" s="1148"/>
      <c r="G23" s="1085">
        <f>SUM(G17:G22)</f>
        <v>0</v>
      </c>
      <c r="H23" s="1684">
        <f>SUM(H17:I22)</f>
        <v>0</v>
      </c>
      <c r="I23" s="1685"/>
    </row>
    <row r="24" spans="2:21" ht="21" customHeight="1" thickTop="1">
      <c r="B24" s="1384" t="str">
        <f>TEXT('KEY INPUTS'!D34+1,"0")&amp;" Loan Maturities"</f>
        <v>2020 Loan Maturities</v>
      </c>
      <c r="C24" s="1393"/>
      <c r="D24" s="1393"/>
      <c r="E24" s="1393"/>
      <c r="F24" s="1393"/>
      <c r="G24" s="1393"/>
      <c r="H24" s="479"/>
      <c r="I24" s="515"/>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413"/>
      <c r="L25" s="413"/>
    </row>
    <row r="26" spans="2:21" ht="21" customHeight="1" thickTop="1"/>
    <row r="27" spans="2:21" ht="19.5" customHeight="1" thickBot="1">
      <c r="B27" s="1936" t="str">
        <f>"INTEREST  ON  LOANS  - "&amp;UPPER('KEY INPUTS'!D54)&amp;"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415" t="s">
        <v>482</v>
      </c>
      <c r="I28" s="1395">
        <f>+I25+I14</f>
        <v>0</v>
      </c>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row>
    <row r="30" spans="2:21" ht="21" customHeight="1">
      <c r="B30" s="691"/>
      <c r="C30" s="691" t="s">
        <v>421</v>
      </c>
      <c r="D30" s="1141"/>
      <c r="E30" s="1141"/>
      <c r="F30" s="1141"/>
      <c r="G30" s="1141"/>
      <c r="H30" s="334" t="s">
        <v>482</v>
      </c>
      <c r="I30" s="1397">
        <f>+I28-I29</f>
        <v>0</v>
      </c>
    </row>
    <row r="31" spans="2:21" ht="21" customHeight="1">
      <c r="B31" s="916" t="str">
        <f>"Add: Interest to be Accrued as of "&amp;TEXT('KEY INPUTS'!D30,"mm/dd/yyyy")&amp;""</f>
        <v>Add: Interest to be Accrued as of 12/31/2020</v>
      </c>
      <c r="C31" s="691"/>
      <c r="D31" s="1141"/>
      <c r="E31" s="1141"/>
      <c r="F31" s="1141"/>
      <c r="G31" s="1141"/>
      <c r="H31" s="334" t="s">
        <v>482</v>
      </c>
      <c r="I31" s="600"/>
    </row>
    <row r="32" spans="2:21" ht="21" customHeight="1">
      <c r="B32" s="916" t="str">
        <f>"Required Appropriation "&amp;TEXT('KEY INPUTS'!D34+1,"0")</f>
        <v>Required Appropriation 2020</v>
      </c>
      <c r="C32" s="691"/>
      <c r="D32" s="1141"/>
      <c r="E32" s="1141"/>
      <c r="F32" s="1141"/>
      <c r="G32" s="1141"/>
      <c r="H32" s="334"/>
      <c r="I32" s="414"/>
      <c r="J32" s="506" t="s">
        <v>482</v>
      </c>
      <c r="K32" s="1847">
        <f>+I30+I31</f>
        <v>0</v>
      </c>
      <c r="L32" s="1848"/>
    </row>
    <row r="33" spans="2:12" ht="13.5" customHeight="1">
      <c r="B33" s="510"/>
      <c r="C33" s="510"/>
      <c r="D33" s="510"/>
      <c r="E33" s="510"/>
      <c r="F33" s="510"/>
      <c r="G33" s="510"/>
      <c r="H33" s="510"/>
      <c r="I33" s="510"/>
      <c r="J33" s="510"/>
      <c r="K33" s="509"/>
      <c r="L33" s="811"/>
    </row>
    <row r="34" spans="2:12" ht="13.5" customHeight="1">
      <c r="B34" s="510"/>
      <c r="C34" s="510"/>
      <c r="D34" s="510"/>
      <c r="E34" s="510"/>
      <c r="F34" s="510"/>
      <c r="G34" s="510"/>
      <c r="H34" s="510"/>
      <c r="I34" s="510"/>
      <c r="J34" s="510"/>
      <c r="K34" s="509"/>
      <c r="L34" s="811"/>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4">
    <tabColor theme="5" tint="0.59999389629810485"/>
  </sheetPr>
  <dimension ref="A2:V31"/>
  <sheetViews>
    <sheetView zoomScaleNormal="100" zoomScaleSheetLayoutView="80" workbookViewId="0">
      <selection activeCell="B1" sqref="B1"/>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9" t="str">
        <f>"DEBT  SERVICE  FOR  "&amp;UPPER('KEY INPUTS'!D54)&amp;"  UTILITY  NOTES  (OTHER  THAN  UTILITY  ASSESSMENT  NOTES)"</f>
        <v>DEBT  SERVICE  FOR    UTILITY  NOTES  (OTHER  THAN  UTILITY  ASSESSMENT  NOTES)</v>
      </c>
      <c r="C2" s="1789"/>
      <c r="D2" s="1789"/>
      <c r="E2" s="1789"/>
      <c r="F2" s="1789"/>
      <c r="G2" s="1789"/>
      <c r="H2" s="1789"/>
      <c r="I2" s="1789"/>
      <c r="J2" s="1789"/>
      <c r="K2" s="1789"/>
      <c r="L2" s="1789"/>
      <c r="M2" s="1789"/>
    </row>
    <row r="3" spans="1:22" ht="21" thickBot="1">
      <c r="B3" s="1789"/>
      <c r="C3" s="1789"/>
      <c r="D3" s="1789"/>
      <c r="E3" s="1789"/>
      <c r="F3" s="1789"/>
      <c r="G3" s="1789"/>
      <c r="H3" s="1789"/>
      <c r="I3" s="1789"/>
      <c r="J3" s="1789"/>
      <c r="K3" s="1789"/>
      <c r="L3" s="1789"/>
      <c r="M3" s="1789"/>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45"/>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c r="B9" s="537" t="s">
        <v>384</v>
      </c>
      <c r="C9" s="676"/>
      <c r="D9" s="677"/>
      <c r="E9" s="618"/>
      <c r="F9" s="678"/>
      <c r="G9" s="618"/>
      <c r="H9" s="679"/>
      <c r="I9" s="620"/>
      <c r="J9" s="618"/>
      <c r="K9" s="618"/>
      <c r="L9" s="629"/>
      <c r="M9" s="680"/>
      <c r="P9" s="322"/>
      <c r="Q9" s="322"/>
      <c r="R9" s="322"/>
      <c r="S9" s="322"/>
      <c r="T9" s="322"/>
      <c r="U9" s="322"/>
      <c r="V9" s="322"/>
    </row>
    <row r="10" spans="1:22" ht="21" customHeight="1">
      <c r="B10" s="536" t="s">
        <v>385</v>
      </c>
      <c r="C10" s="681"/>
      <c r="D10" s="652"/>
      <c r="E10" s="601"/>
      <c r="F10" s="682"/>
      <c r="G10" s="601"/>
      <c r="H10" s="601"/>
      <c r="I10" s="683"/>
      <c r="J10" s="684"/>
      <c r="K10" s="601"/>
      <c r="L10" s="631"/>
      <c r="M10" s="685"/>
      <c r="N10" s="398" t="s">
        <v>3408</v>
      </c>
      <c r="O10" s="398" t="s">
        <v>3408</v>
      </c>
      <c r="P10" s="377"/>
      <c r="Q10" s="322"/>
      <c r="R10" s="322"/>
      <c r="S10" s="322"/>
      <c r="T10" s="322"/>
      <c r="U10" s="322"/>
      <c r="V10" s="322"/>
    </row>
    <row r="11" spans="1:22" ht="21" customHeight="1">
      <c r="B11" s="536" t="s">
        <v>386</v>
      </c>
      <c r="C11" s="648"/>
      <c r="D11" s="652"/>
      <c r="E11" s="601"/>
      <c r="F11" s="686"/>
      <c r="G11" s="601"/>
      <c r="H11" s="601"/>
      <c r="I11" s="623"/>
      <c r="J11" s="601"/>
      <c r="K11" s="601"/>
      <c r="L11" s="631"/>
      <c r="M11" s="685"/>
      <c r="P11" s="322"/>
      <c r="Q11" s="322"/>
      <c r="R11" s="322"/>
      <c r="S11" s="322"/>
      <c r="T11" s="322"/>
      <c r="U11" s="322"/>
      <c r="V11" s="322"/>
    </row>
    <row r="12" spans="1:22" ht="21" customHeight="1">
      <c r="B12" s="536" t="s">
        <v>387</v>
      </c>
      <c r="C12" s="648"/>
      <c r="D12" s="652"/>
      <c r="E12" s="601"/>
      <c r="F12" s="686"/>
      <c r="G12" s="601"/>
      <c r="H12" s="601"/>
      <c r="I12" s="623"/>
      <c r="J12" s="601"/>
      <c r="K12" s="601"/>
      <c r="L12" s="631"/>
      <c r="M12" s="685"/>
      <c r="P12" s="322"/>
      <c r="Q12" s="322"/>
      <c r="R12" s="322"/>
      <c r="S12" s="322"/>
      <c r="T12" s="322"/>
      <c r="U12" s="322"/>
      <c r="V12" s="322"/>
    </row>
    <row r="13" spans="1:22" ht="21" customHeight="1">
      <c r="B13" s="536" t="s">
        <v>388</v>
      </c>
      <c r="C13" s="648"/>
      <c r="D13" s="652"/>
      <c r="E13" s="601"/>
      <c r="F13" s="686"/>
      <c r="G13" s="601"/>
      <c r="H13" s="601"/>
      <c r="I13" s="623"/>
      <c r="J13" s="601"/>
      <c r="K13" s="601"/>
      <c r="L13" s="631"/>
      <c r="M13" s="685"/>
      <c r="P13" s="322"/>
      <c r="Q13" s="322"/>
      <c r="R13" s="322"/>
      <c r="S13" s="322"/>
      <c r="T13" s="322"/>
      <c r="U13" s="322"/>
      <c r="V13" s="322"/>
    </row>
    <row r="14" spans="1:22" ht="21" customHeight="1">
      <c r="B14" s="536" t="s">
        <v>389</v>
      </c>
      <c r="C14" s="648"/>
      <c r="D14" s="652"/>
      <c r="E14" s="604"/>
      <c r="F14" s="687"/>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686"/>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686"/>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686"/>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0</v>
      </c>
      <c r="F18" s="693"/>
      <c r="G18" s="690">
        <f>SUM(G9:G17)</f>
        <v>0</v>
      </c>
      <c r="H18" s="690"/>
      <c r="I18" s="694"/>
      <c r="J18" s="690">
        <f>SUM(J9:J17)</f>
        <v>0</v>
      </c>
      <c r="K18" s="690">
        <f>SUM(K9:K17)</f>
        <v>0</v>
      </c>
      <c r="L18" s="695"/>
      <c r="M18" s="696"/>
      <c r="P18" s="322"/>
      <c r="Q18" s="322"/>
      <c r="R18" s="322"/>
      <c r="S18" s="322"/>
      <c r="T18" s="322"/>
      <c r="U18" s="322"/>
      <c r="V18" s="322"/>
    </row>
    <row r="19" spans="1:22" ht="21" customHeight="1">
      <c r="A19" s="535"/>
      <c r="B19" s="1354"/>
      <c r="C19" s="1194"/>
      <c r="D19" s="1194"/>
      <c r="E19" s="1355"/>
      <c r="F19" s="1194"/>
      <c r="G19" s="1355"/>
      <c r="H19" s="1355"/>
      <c r="I19" s="1356"/>
      <c r="J19" s="1355"/>
      <c r="K19" s="1355"/>
      <c r="L19" s="1355"/>
      <c r="M19" s="1194"/>
      <c r="P19" s="322"/>
      <c r="Q19" s="322"/>
      <c r="R19" s="322"/>
      <c r="S19" s="322"/>
      <c r="T19" s="322"/>
      <c r="U19" s="322"/>
      <c r="V19" s="322"/>
    </row>
    <row r="20" spans="1:22" ht="21" customHeight="1">
      <c r="A20" s="535"/>
      <c r="B20" s="1354"/>
      <c r="C20" s="1194"/>
      <c r="D20" s="1194"/>
      <c r="E20" s="1355"/>
      <c r="F20" s="1194"/>
      <c r="G20" s="1355"/>
      <c r="H20" s="1355"/>
      <c r="I20" s="1356"/>
      <c r="J20" s="1355"/>
      <c r="K20" s="1355"/>
      <c r="L20" s="1355"/>
      <c r="M20" s="1194"/>
      <c r="P20" s="322"/>
      <c r="Q20" s="322"/>
      <c r="R20" s="322"/>
      <c r="S20" s="322"/>
      <c r="T20" s="322"/>
      <c r="U20" s="322"/>
      <c r="V20" s="322"/>
    </row>
    <row r="21" spans="1:22" ht="13.5" customHeight="1" thickBot="1">
      <c r="B21" s="1357"/>
      <c r="C21" s="1358"/>
      <c r="D21" s="1359"/>
      <c r="E21" s="1194"/>
      <c r="F21" s="1194"/>
      <c r="G21" s="1194"/>
      <c r="H21" s="1194"/>
      <c r="I21" s="1194"/>
      <c r="J21" s="1360"/>
      <c r="K21" s="1194"/>
      <c r="L21" s="1194"/>
      <c r="M21" s="1194"/>
      <c r="P21" s="322"/>
      <c r="Q21" s="322"/>
      <c r="R21" s="322"/>
      <c r="S21" s="322"/>
      <c r="T21" s="322"/>
      <c r="U21" s="322"/>
      <c r="V21" s="322"/>
    </row>
    <row r="22" spans="1:22" ht="14.4" thickTop="1" thickBot="1">
      <c r="B22" s="1222" t="s">
        <v>44</v>
      </c>
      <c r="C22" s="1121"/>
      <c r="D22" s="1361"/>
      <c r="E22" s="1121"/>
      <c r="F22" s="1116"/>
      <c r="G22" s="1116"/>
      <c r="H22" s="1116"/>
      <c r="I22" s="1861" t="str">
        <f>"INTEREST  ON  NOTES  -  "&amp;UPPER('KEY INPUTS'!D54)&amp;" UTILITY  BUDGET"</f>
        <v>INTEREST  ON  NOTES  -   UTILITY  BUDGET</v>
      </c>
      <c r="J22" s="1862"/>
      <c r="K22" s="1862"/>
      <c r="L22" s="1862"/>
      <c r="M22" s="1863"/>
      <c r="P22" s="322"/>
      <c r="Q22" s="322"/>
      <c r="R22" s="322"/>
      <c r="S22" s="322"/>
      <c r="T22" s="322"/>
      <c r="U22" s="322"/>
      <c r="V22" s="322"/>
    </row>
    <row r="23" spans="1:22" ht="15.6" customHeight="1">
      <c r="B23" s="1362" t="s">
        <v>45</v>
      </c>
      <c r="C23" s="1362"/>
      <c r="D23" s="1222" t="s">
        <v>46</v>
      </c>
      <c r="E23" s="1121"/>
      <c r="F23" s="1116"/>
      <c r="G23" s="1116"/>
      <c r="H23" s="1116"/>
      <c r="I23" s="1363" t="str">
        <f>TEXT('KEY INPUTS'!D34+1,"0")&amp;"  Interest on Notes"</f>
        <v>2020  Interest on Notes</v>
      </c>
      <c r="J23" s="1193"/>
      <c r="K23" s="1193"/>
      <c r="L23" s="526" t="s">
        <v>482</v>
      </c>
      <c r="M23" s="1236">
        <f>K18</f>
        <v>0</v>
      </c>
      <c r="P23" s="322"/>
      <c r="Q23" s="322"/>
      <c r="R23" s="322"/>
      <c r="S23" s="322"/>
      <c r="T23" s="322"/>
      <c r="U23" s="322"/>
      <c r="V23" s="322"/>
    </row>
    <row r="24" spans="1:22" ht="15.6" customHeight="1">
      <c r="B24" s="1222"/>
      <c r="C24" s="1222"/>
      <c r="D24" s="1362" t="s">
        <v>47</v>
      </c>
      <c r="E24" s="1121"/>
      <c r="F24" s="1116"/>
      <c r="G24" s="1116"/>
      <c r="H24" s="1116"/>
      <c r="I24" s="1417" t="str">
        <f>"Less: Interest Accrued to "&amp;TEXT('KEY INPUTS'!D29,"mm/dd/yyyy")&amp;" (Trial Balance)"</f>
        <v>Less: Interest Accrued to 12/31/2019 (Trial Balance)</v>
      </c>
      <c r="J24" s="691"/>
      <c r="K24" s="691"/>
      <c r="L24" s="524" t="s">
        <v>482</v>
      </c>
      <c r="M24" s="742"/>
      <c r="P24" s="322"/>
      <c r="Q24" s="322"/>
      <c r="R24" s="322"/>
      <c r="S24" s="322"/>
      <c r="T24" s="322"/>
      <c r="U24" s="322"/>
      <c r="V24" s="322"/>
    </row>
    <row r="25" spans="1:22" ht="15.6" customHeight="1">
      <c r="B25" s="1222"/>
      <c r="C25" s="1222"/>
      <c r="D25" s="1222" t="s">
        <v>48</v>
      </c>
      <c r="E25" s="1121"/>
      <c r="F25" s="1116"/>
      <c r="G25" s="1116"/>
      <c r="H25" s="1116"/>
      <c r="I25" s="1123"/>
      <c r="J25" s="691" t="s">
        <v>421</v>
      </c>
      <c r="K25" s="691"/>
      <c r="L25" s="524" t="s">
        <v>482</v>
      </c>
      <c r="M25" s="1237">
        <f>+M23-M24</f>
        <v>0</v>
      </c>
    </row>
    <row r="26" spans="1:22" ht="15.6" customHeight="1">
      <c r="B26" s="1222"/>
      <c r="C26" s="1222"/>
      <c r="D26" s="1222" t="str">
        <f>"All notes with an original date of issue of 2016"&amp;" or prior require one legally payable installment to be budgeted if it"</f>
        <v>All notes with an original date of issue of 2016 or prior require one legally payable installment to be budgeted if it</v>
      </c>
      <c r="E26" s="1121"/>
      <c r="F26" s="1116"/>
      <c r="G26" s="1116"/>
      <c r="H26" s="1116"/>
      <c r="I26" s="1417" t="str">
        <f>"Add: Interest to be Accrued as of "&amp;TEXT('KEY INPUTS'!D29,"mm/dd/yyyy")&amp;""</f>
        <v>Add: Interest to be Accrued as of 12/31/2019</v>
      </c>
      <c r="J26" s="691"/>
      <c r="K26" s="691"/>
      <c r="L26" s="524" t="s">
        <v>482</v>
      </c>
      <c r="M26" s="742"/>
    </row>
    <row r="27" spans="1:22" ht="15.6" customHeight="1" thickBot="1">
      <c r="B27" s="1222"/>
      <c r="C27" s="1222"/>
      <c r="D27" s="1222" t="str">
        <f>"is contemplated that such notes will be renewed in "&amp;TEXT('KEY INPUTS'!D34+1,"0")&amp;" or written intent of permanent financing submitted."</f>
        <v>is contemplated that such notes will be renewed in 2020 or written intent of permanent financing submitted.</v>
      </c>
      <c r="E27" s="1121"/>
      <c r="F27" s="1116"/>
      <c r="G27" s="1116"/>
      <c r="H27" s="1116"/>
      <c r="I27" s="1418" t="str">
        <f>"Required Appropriation - "&amp;TEXT('KEY INPUTS'!D34+1,"0")&amp;""</f>
        <v>Required Appropriation - 2020</v>
      </c>
      <c r="J27" s="1171"/>
      <c r="K27" s="1171"/>
      <c r="L27" s="522" t="s">
        <v>482</v>
      </c>
      <c r="M27" s="1238">
        <f>+M25+M26</f>
        <v>0</v>
      </c>
    </row>
    <row r="28" spans="1:22" ht="13.8" thickTop="1">
      <c r="B28" s="1222"/>
      <c r="C28" s="1222"/>
      <c r="D28" s="1222" t="s">
        <v>49</v>
      </c>
      <c r="E28" s="1121"/>
      <c r="F28" s="1116"/>
      <c r="G28" s="1116"/>
      <c r="H28" s="1116"/>
      <c r="I28" s="1116"/>
      <c r="J28" s="1116"/>
      <c r="K28" s="1116"/>
      <c r="L28" s="1116"/>
      <c r="M28" s="1116"/>
    </row>
    <row r="29" spans="1:22">
      <c r="B29" s="1121"/>
      <c r="C29" s="1121"/>
      <c r="D29" s="1362" t="s">
        <v>50</v>
      </c>
      <c r="E29" s="1121"/>
      <c r="F29" s="1116"/>
      <c r="G29" s="1116"/>
      <c r="H29" s="1116"/>
      <c r="I29" s="1116"/>
      <c r="J29" s="1116"/>
      <c r="K29" s="1116"/>
      <c r="L29" s="1116"/>
      <c r="M29" s="1116"/>
    </row>
    <row r="30" spans="1:22">
      <c r="I30" s="1116"/>
      <c r="J30" s="1360" t="s">
        <v>127</v>
      </c>
      <c r="K30" s="1116"/>
      <c r="L30" s="1116"/>
      <c r="M30" s="1116"/>
    </row>
    <row r="31" spans="1:22">
      <c r="I31" s="1116"/>
      <c r="J31" s="1116"/>
      <c r="K31" s="1116"/>
      <c r="L31" s="1116"/>
      <c r="M31" s="1116"/>
    </row>
  </sheetData>
  <sheetProtection algorithmName="SHA-512" hashValue="DaF7TdfMVR57QLa1OjTZiEq7NTYinAK8Ae/Tao4rQobHF6qA9orbXF/FAOTWrCWKR8/g8zPFju/53j5YacShkA==" saltValue="pVwmBjHv/ziKqx80/hEHW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5">
    <tabColor theme="5" tint="0.59999389629810485"/>
  </sheetPr>
  <dimension ref="A1: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8"/>
      <c r="C1" s="1148"/>
      <c r="D1" s="1148"/>
      <c r="E1" s="1148"/>
      <c r="F1" s="1148"/>
      <c r="G1" s="1148"/>
      <c r="H1" s="1148"/>
      <c r="I1" s="1148"/>
      <c r="J1" s="1148"/>
      <c r="K1" s="1148"/>
      <c r="L1" s="1148"/>
    </row>
    <row r="2" spans="1:20" ht="20.399999999999999">
      <c r="B2" s="1789" t="str">
        <f>"DEBT  SERVICE  SCHEDULE  FOR  "&amp;UPPER('KEY INPUTS'!D54) &amp;"  UTILITY  ASSESSMENT  NOTES"</f>
        <v>DEBT  SERVICE  SCHEDULE  FOR    UTILITY  ASSESSMENT  NOTES</v>
      </c>
      <c r="C2" s="1789"/>
      <c r="D2" s="1789"/>
      <c r="E2" s="1789"/>
      <c r="F2" s="1789"/>
      <c r="G2" s="1789"/>
      <c r="H2" s="1789"/>
      <c r="I2" s="1789"/>
      <c r="J2" s="1789"/>
      <c r="K2" s="1789"/>
      <c r="L2" s="1789"/>
    </row>
    <row r="3" spans="1:20" ht="21" thickBot="1">
      <c r="B3" s="1871"/>
      <c r="C3" s="1871"/>
      <c r="D3" s="1871"/>
      <c r="E3" s="1871"/>
      <c r="F3" s="1871"/>
      <c r="G3" s="1871"/>
      <c r="H3" s="1871"/>
      <c r="I3" s="1871"/>
      <c r="J3" s="1871"/>
      <c r="K3" s="1871"/>
      <c r="L3" s="1871"/>
    </row>
    <row r="4" spans="1:20" ht="13.5" customHeight="1" thickTop="1">
      <c r="B4" s="1944"/>
      <c r="C4" s="1944"/>
      <c r="D4" s="1945"/>
      <c r="E4" s="1240"/>
      <c r="F4" s="1145"/>
      <c r="G4" s="1145"/>
      <c r="H4" s="1145"/>
      <c r="I4" s="1145"/>
      <c r="J4" s="1144"/>
      <c r="K4" s="1144"/>
      <c r="L4" s="1147"/>
    </row>
    <row r="5" spans="1:20" ht="13.5" customHeight="1">
      <c r="B5" s="1148"/>
      <c r="C5" s="1148"/>
      <c r="D5" s="1148"/>
      <c r="E5" s="1149" t="s">
        <v>176</v>
      </c>
      <c r="F5" s="1153" t="s">
        <v>176</v>
      </c>
      <c r="G5" s="1153" t="s">
        <v>533</v>
      </c>
      <c r="H5" s="1153" t="s">
        <v>18</v>
      </c>
      <c r="I5" s="1153" t="s">
        <v>685</v>
      </c>
      <c r="J5" s="1867">
        <f>'KEY INPUTS'!D33</f>
        <v>2020</v>
      </c>
      <c r="K5" s="1868"/>
      <c r="L5" s="1151" t="s">
        <v>686</v>
      </c>
    </row>
    <row r="6" spans="1:20" ht="13.5" customHeight="1">
      <c r="B6" s="1148"/>
      <c r="C6" s="1788" t="s">
        <v>175</v>
      </c>
      <c r="D6" s="1872"/>
      <c r="E6" s="1149" t="s">
        <v>533</v>
      </c>
      <c r="F6" s="1153" t="s">
        <v>177</v>
      </c>
      <c r="G6" s="1153" t="s">
        <v>682</v>
      </c>
      <c r="H6" s="1153" t="s">
        <v>683</v>
      </c>
      <c r="I6" s="1153" t="s">
        <v>683</v>
      </c>
      <c r="J6" s="1869"/>
      <c r="K6" s="1870"/>
      <c r="L6" s="1151" t="s">
        <v>689</v>
      </c>
    </row>
    <row r="7" spans="1:20" ht="13.5" customHeight="1">
      <c r="B7" s="1148"/>
      <c r="C7" s="1148"/>
      <c r="D7" s="1148"/>
      <c r="E7" s="1149" t="s">
        <v>113</v>
      </c>
      <c r="F7" s="1149" t="s">
        <v>178</v>
      </c>
      <c r="G7" s="1149" t="s">
        <v>257</v>
      </c>
      <c r="H7" s="1149" t="s">
        <v>684</v>
      </c>
      <c r="I7" s="1149" t="s">
        <v>686</v>
      </c>
      <c r="J7" s="1149" t="s">
        <v>142</v>
      </c>
      <c r="K7" s="1149" t="s">
        <v>687</v>
      </c>
      <c r="L7" s="1151" t="s">
        <v>690</v>
      </c>
      <c r="N7" s="322"/>
      <c r="O7" s="322"/>
      <c r="P7" s="322"/>
      <c r="Q7" s="322"/>
      <c r="R7" s="322"/>
      <c r="S7" s="322"/>
      <c r="T7" s="322"/>
    </row>
    <row r="8" spans="1:20" ht="13.5" customHeight="1" thickBot="1">
      <c r="B8" s="1155"/>
      <c r="C8" s="1155"/>
      <c r="D8" s="1155"/>
      <c r="E8" s="1156"/>
      <c r="F8" s="1156"/>
      <c r="G8" s="1366" t="str">
        <f>'KEY INPUTS'!D46</f>
        <v>Dec. 31, 2019</v>
      </c>
      <c r="H8" s="1156"/>
      <c r="I8" s="1156"/>
      <c r="J8" s="1157"/>
      <c r="K8" s="1257" t="s">
        <v>688</v>
      </c>
      <c r="L8" s="1159"/>
      <c r="N8" s="322"/>
      <c r="O8" s="322"/>
      <c r="P8" s="322"/>
      <c r="Q8" s="322"/>
      <c r="R8" s="322"/>
      <c r="S8" s="322"/>
      <c r="T8" s="322"/>
    </row>
    <row r="9" spans="1:20" ht="21" customHeight="1" thickTop="1">
      <c r="B9" s="1875"/>
      <c r="C9" s="1875"/>
      <c r="D9" s="1876"/>
      <c r="E9" s="605"/>
      <c r="F9" s="799"/>
      <c r="G9" s="605"/>
      <c r="H9" s="605"/>
      <c r="I9" s="800"/>
      <c r="J9" s="605"/>
      <c r="K9" s="605"/>
      <c r="L9" s="801"/>
      <c r="N9" s="377"/>
      <c r="O9" s="322"/>
      <c r="P9" s="322"/>
      <c r="Q9" s="322"/>
      <c r="R9" s="322"/>
      <c r="S9" s="322"/>
      <c r="T9" s="322"/>
    </row>
    <row r="10" spans="1:20" ht="21" customHeight="1">
      <c r="B10" s="706"/>
      <c r="C10" s="706"/>
      <c r="D10" s="1477"/>
      <c r="E10" s="601"/>
      <c r="F10" s="686"/>
      <c r="G10" s="601"/>
      <c r="H10" s="601"/>
      <c r="I10" s="623"/>
      <c r="J10" s="601"/>
      <c r="K10" s="601"/>
      <c r="L10" s="700"/>
      <c r="N10" s="322"/>
      <c r="O10" s="322"/>
      <c r="P10" s="322"/>
      <c r="Q10" s="322"/>
      <c r="R10" s="322"/>
      <c r="S10" s="322"/>
      <c r="T10" s="322"/>
    </row>
    <row r="11" spans="1:20" ht="21" customHeight="1">
      <c r="B11" s="706"/>
      <c r="C11" s="706"/>
      <c r="D11" s="1477"/>
      <c r="E11" s="601"/>
      <c r="F11" s="686"/>
      <c r="G11" s="601"/>
      <c r="H11" s="601"/>
      <c r="I11" s="623"/>
      <c r="J11" s="601"/>
      <c r="K11" s="601"/>
      <c r="L11" s="700"/>
      <c r="N11" s="322"/>
      <c r="O11" s="322"/>
      <c r="P11" s="322"/>
      <c r="Q11" s="322"/>
      <c r="R11" s="322"/>
      <c r="S11" s="322"/>
      <c r="T11" s="322"/>
    </row>
    <row r="12" spans="1:20" ht="21" customHeight="1">
      <c r="B12" s="706"/>
      <c r="C12" s="706"/>
      <c r="D12" s="1477"/>
      <c r="E12" s="601"/>
      <c r="F12" s="686"/>
      <c r="G12" s="601"/>
      <c r="H12" s="601"/>
      <c r="I12" s="623"/>
      <c r="J12" s="601"/>
      <c r="K12" s="601"/>
      <c r="L12" s="700"/>
      <c r="N12" s="322"/>
      <c r="O12" s="322"/>
      <c r="P12" s="322"/>
      <c r="Q12" s="322"/>
      <c r="R12" s="322"/>
      <c r="S12" s="322"/>
      <c r="T12" s="322"/>
    </row>
    <row r="13" spans="1:20" ht="21" customHeight="1">
      <c r="B13" s="706"/>
      <c r="C13" s="706"/>
      <c r="D13" s="1477"/>
      <c r="E13" s="601"/>
      <c r="F13" s="686"/>
      <c r="G13" s="601"/>
      <c r="H13" s="601"/>
      <c r="I13" s="623"/>
      <c r="J13" s="601"/>
      <c r="K13" s="601"/>
      <c r="L13" s="700"/>
      <c r="N13" s="322"/>
      <c r="O13" s="322"/>
      <c r="P13" s="322"/>
      <c r="Q13" s="322"/>
      <c r="R13" s="322"/>
      <c r="S13" s="322"/>
      <c r="T13" s="322"/>
    </row>
    <row r="14" spans="1:20" ht="21" customHeight="1">
      <c r="B14" s="706"/>
      <c r="C14" s="706"/>
      <c r="D14" s="1477"/>
      <c r="E14" s="604"/>
      <c r="F14" s="687"/>
      <c r="G14" s="604"/>
      <c r="H14" s="604"/>
      <c r="I14" s="626"/>
      <c r="J14" s="601"/>
      <c r="K14" s="601"/>
      <c r="L14" s="700"/>
      <c r="N14" s="322"/>
      <c r="O14" s="322"/>
      <c r="P14" s="322"/>
      <c r="Q14" s="322"/>
      <c r="R14" s="322"/>
      <c r="S14" s="322"/>
      <c r="T14" s="322"/>
    </row>
    <row r="15" spans="1:20" ht="21" customHeight="1">
      <c r="A15" s="1793" t="s">
        <v>3449</v>
      </c>
      <c r="B15" s="706"/>
      <c r="C15" s="706"/>
      <c r="D15" s="1477"/>
      <c r="E15" s="601"/>
      <c r="F15" s="686"/>
      <c r="G15" s="601"/>
      <c r="H15" s="601"/>
      <c r="I15" s="623"/>
      <c r="J15" s="601"/>
      <c r="K15" s="601"/>
      <c r="L15" s="700"/>
      <c r="N15" s="322"/>
      <c r="O15" s="322"/>
      <c r="P15" s="322"/>
      <c r="Q15" s="322"/>
      <c r="R15" s="322"/>
      <c r="S15" s="322"/>
      <c r="T15" s="322"/>
    </row>
    <row r="16" spans="1:20" ht="21" customHeight="1">
      <c r="A16" s="1793"/>
      <c r="B16" s="706"/>
      <c r="C16" s="706"/>
      <c r="D16" s="1477"/>
      <c r="E16" s="601"/>
      <c r="F16" s="686"/>
      <c r="G16" s="601"/>
      <c r="H16" s="601"/>
      <c r="I16" s="623"/>
      <c r="J16" s="601"/>
      <c r="K16" s="601"/>
      <c r="L16" s="700"/>
      <c r="N16" s="322"/>
      <c r="O16" s="322"/>
      <c r="P16" s="322"/>
      <c r="Q16" s="322"/>
      <c r="R16" s="322"/>
      <c r="S16" s="322"/>
      <c r="T16" s="322"/>
    </row>
    <row r="17" spans="1:20" ht="21" customHeight="1">
      <c r="A17" s="1793"/>
      <c r="B17" s="706"/>
      <c r="C17" s="706"/>
      <c r="D17" s="1477"/>
      <c r="E17" s="601"/>
      <c r="F17" s="686"/>
      <c r="G17" s="601"/>
      <c r="H17" s="601"/>
      <c r="I17" s="623"/>
      <c r="J17" s="601"/>
      <c r="K17" s="601"/>
      <c r="L17" s="700"/>
      <c r="N17" s="322"/>
      <c r="O17" s="322"/>
      <c r="P17" s="322"/>
      <c r="Q17" s="322"/>
      <c r="R17" s="322"/>
      <c r="S17" s="322"/>
      <c r="T17" s="322"/>
    </row>
    <row r="18" spans="1:20" ht="21" customHeight="1">
      <c r="A18" s="545"/>
      <c r="B18" s="706"/>
      <c r="C18" s="706"/>
      <c r="D18" s="1477"/>
      <c r="E18" s="601"/>
      <c r="F18" s="686"/>
      <c r="G18" s="601"/>
      <c r="H18" s="601"/>
      <c r="I18" s="623"/>
      <c r="J18" s="601"/>
      <c r="K18" s="601"/>
      <c r="L18" s="700"/>
      <c r="N18" s="322"/>
      <c r="O18" s="322"/>
      <c r="P18" s="322"/>
      <c r="Q18" s="322"/>
      <c r="R18" s="322"/>
      <c r="S18" s="322"/>
      <c r="T18" s="322"/>
    </row>
    <row r="19" spans="1:20" ht="21" customHeight="1">
      <c r="B19" s="706"/>
      <c r="C19" s="706"/>
      <c r="D19" s="1477"/>
      <c r="E19" s="601"/>
      <c r="F19" s="686"/>
      <c r="G19" s="601"/>
      <c r="H19" s="601"/>
      <c r="I19" s="623"/>
      <c r="J19" s="601"/>
      <c r="K19" s="601"/>
      <c r="L19" s="700"/>
      <c r="N19" s="322"/>
      <c r="O19" s="322"/>
      <c r="P19" s="322"/>
      <c r="Q19" s="322"/>
      <c r="R19" s="322"/>
      <c r="S19" s="322"/>
      <c r="T19" s="322"/>
    </row>
    <row r="20" spans="1:20" ht="21" customHeight="1">
      <c r="B20" s="706"/>
      <c r="C20" s="706"/>
      <c r="D20" s="1477"/>
      <c r="E20" s="601"/>
      <c r="F20" s="686"/>
      <c r="G20" s="601"/>
      <c r="H20" s="601"/>
      <c r="I20" s="623"/>
      <c r="J20" s="601"/>
      <c r="K20" s="601"/>
      <c r="L20" s="700"/>
      <c r="N20" s="322"/>
      <c r="O20" s="322"/>
      <c r="P20" s="322"/>
      <c r="Q20" s="322"/>
      <c r="R20" s="322"/>
      <c r="S20" s="322"/>
      <c r="T20" s="322"/>
    </row>
    <row r="21" spans="1:20" ht="21" customHeight="1">
      <c r="B21" s="706"/>
      <c r="C21" s="706"/>
      <c r="D21" s="1477"/>
      <c r="E21" s="601"/>
      <c r="F21" s="686"/>
      <c r="G21" s="601"/>
      <c r="H21" s="601"/>
      <c r="I21" s="623"/>
      <c r="J21" s="601"/>
      <c r="K21" s="601"/>
      <c r="L21" s="700"/>
      <c r="N21" s="322"/>
      <c r="O21" s="322"/>
      <c r="P21" s="322"/>
      <c r="Q21" s="322"/>
      <c r="R21" s="322"/>
      <c r="S21" s="322"/>
      <c r="T21" s="322"/>
    </row>
    <row r="22" spans="1:20" ht="21" customHeight="1">
      <c r="B22" s="706"/>
      <c r="C22" s="706"/>
      <c r="D22" s="1477"/>
      <c r="E22" s="601"/>
      <c r="F22" s="686"/>
      <c r="G22" s="601"/>
      <c r="H22" s="601"/>
      <c r="I22" s="623"/>
      <c r="J22" s="601"/>
      <c r="K22" s="601"/>
      <c r="L22" s="700"/>
      <c r="N22" s="322"/>
      <c r="O22" s="322"/>
      <c r="P22" s="322"/>
      <c r="Q22" s="322"/>
      <c r="R22" s="322"/>
      <c r="S22" s="322"/>
      <c r="T22" s="322"/>
    </row>
    <row r="23" spans="1:20" ht="21" customHeight="1" thickBot="1">
      <c r="B23" s="1258"/>
      <c r="C23" s="1419"/>
      <c r="D23" s="1420"/>
      <c r="E23" s="1367">
        <f>SUM(E9:E22)</f>
        <v>0</v>
      </c>
      <c r="F23" s="1421"/>
      <c r="G23" s="1367">
        <f>SUM(G9:G22)</f>
        <v>0</v>
      </c>
      <c r="H23" s="1367"/>
      <c r="I23" s="1367"/>
      <c r="J23" s="1367">
        <f>SUM(J9:J22)</f>
        <v>0</v>
      </c>
      <c r="K23" s="1367">
        <f>SUM(K9:K22)</f>
        <v>0</v>
      </c>
      <c r="L23" s="1422"/>
      <c r="N23" s="322"/>
      <c r="O23" s="322"/>
      <c r="P23" s="322"/>
      <c r="Q23" s="322"/>
      <c r="R23" s="322"/>
      <c r="S23" s="322"/>
      <c r="T23" s="322"/>
    </row>
    <row r="24" spans="1:20" ht="13.5" customHeight="1" thickTop="1">
      <c r="B24" s="1368" t="s">
        <v>44</v>
      </c>
      <c r="C24" s="1369"/>
      <c r="D24" s="1370"/>
      <c r="E24" s="1148"/>
      <c r="F24" s="1148"/>
      <c r="G24" s="1148"/>
      <c r="H24" s="1148"/>
      <c r="I24" s="1148"/>
      <c r="J24" s="1371"/>
      <c r="K24" s="1371"/>
      <c r="L24" s="1148"/>
    </row>
    <row r="25" spans="1:20" ht="13.5" customHeight="1">
      <c r="B25" s="1368" t="s">
        <v>694</v>
      </c>
      <c r="C25" s="1369"/>
      <c r="D25" s="1370"/>
      <c r="E25" s="1148"/>
      <c r="F25" s="1148"/>
      <c r="G25" s="1148"/>
      <c r="H25" s="1148"/>
      <c r="I25" s="1148"/>
      <c r="J25" s="1148"/>
      <c r="K25" s="1148"/>
      <c r="L25" s="1148"/>
    </row>
    <row r="26" spans="1:20" ht="13.5" customHeight="1">
      <c r="B26" s="1368"/>
      <c r="C26" s="136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70"/>
      <c r="E26" s="1148"/>
      <c r="F26" s="1148"/>
      <c r="G26" s="1148"/>
      <c r="H26" s="1148"/>
      <c r="I26" s="1148"/>
      <c r="J26" s="1148"/>
      <c r="K26" s="1148"/>
      <c r="L26" s="1148"/>
    </row>
    <row r="27" spans="1:20" ht="13.5" customHeight="1">
      <c r="B27" s="1368"/>
      <c r="C27" s="1369"/>
      <c r="D27" s="1372" t="s">
        <v>644</v>
      </c>
      <c r="E27" s="1148"/>
      <c r="F27" s="1148"/>
      <c r="G27" s="1148"/>
      <c r="H27" s="1148"/>
      <c r="I27" s="1148"/>
      <c r="J27" s="1148"/>
      <c r="K27" s="1148"/>
      <c r="L27" s="1148"/>
    </row>
    <row r="28" spans="1:20" ht="13.5" customHeight="1">
      <c r="B28" s="1368"/>
      <c r="C28" s="1369" t="s">
        <v>394</v>
      </c>
      <c r="D28" s="1370"/>
      <c r="E28" s="1148"/>
      <c r="F28" s="1148"/>
      <c r="G28" s="1148"/>
      <c r="H28" s="1148"/>
      <c r="I28" s="1148"/>
      <c r="J28" s="1373"/>
      <c r="K28" s="1148"/>
      <c r="L28" s="1148"/>
    </row>
    <row r="29" spans="1:20">
      <c r="B29" s="541"/>
      <c r="C29" s="411"/>
      <c r="D29" s="411"/>
    </row>
  </sheetData>
  <sheetProtection algorithmName="SHA-512" hashValue="dn5sCfMs2uXeQKwkDmQ+sT+I9OuXUj1ad6tS+Qh6T/A/nrF6HvBU9otFDnOOTY0h4a4JeyF5ER4k9w4+ho3eEQ==" saltValue="MvVKH3X0D5bA+qwPGSrC3Q=="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6">
    <tabColor theme="5" tint="0.59999389629810485"/>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9" t="str">
        <f>"SCHEDULE  OF  CAPITAL  LEASE  PROGRAM  OBLIGATIONS "&amp;UPPER('KEY INPUTS'!D54)&amp;"  UTILITY"</f>
        <v>SCHEDULE  OF  CAPITAL  LEASE  PROGRAM  OBLIGATIONS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944"/>
      <c r="C4" s="1944"/>
      <c r="D4" s="1944"/>
      <c r="E4" s="1944"/>
      <c r="F4" s="1945"/>
      <c r="G4" s="1268"/>
      <c r="H4" s="1144"/>
      <c r="I4" s="1269"/>
    </row>
    <row r="5" spans="1:18" ht="13.5" customHeight="1">
      <c r="B5" s="1148"/>
      <c r="C5" s="1148"/>
      <c r="D5" s="1148"/>
      <c r="E5" s="1143"/>
      <c r="F5" s="1143"/>
      <c r="G5" s="1153" t="s">
        <v>533</v>
      </c>
      <c r="H5" s="1946" t="str">
        <f>'KEY INPUTS'!D34+1&amp;" Budget Requirements"</f>
        <v>2020 Budget Requirements</v>
      </c>
      <c r="I5" s="1947"/>
      <c r="J5" s="776"/>
    </row>
    <row r="6" spans="1:18" ht="13.5" customHeight="1">
      <c r="B6" s="1148"/>
      <c r="C6" s="1788" t="s">
        <v>532</v>
      </c>
      <c r="D6" s="1788"/>
      <c r="E6" s="1143"/>
      <c r="F6" s="1143"/>
      <c r="G6" s="1153" t="s">
        <v>549</v>
      </c>
      <c r="H6" s="1948"/>
      <c r="I6" s="1949"/>
      <c r="J6" s="776"/>
    </row>
    <row r="7" spans="1:18" ht="13.5" customHeight="1">
      <c r="B7" s="1148"/>
      <c r="C7" s="1148"/>
      <c r="D7" s="1148"/>
      <c r="E7" s="1143"/>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875"/>
      <c r="C9" s="1875"/>
      <c r="D9" s="1875"/>
      <c r="E9" s="1875"/>
      <c r="F9" s="1876"/>
      <c r="G9" s="803"/>
      <c r="H9" s="605"/>
      <c r="I9" s="804"/>
      <c r="L9" s="377"/>
      <c r="M9" s="322"/>
      <c r="N9" s="322"/>
      <c r="O9" s="322"/>
      <c r="P9" s="322"/>
      <c r="Q9" s="322"/>
      <c r="R9" s="322"/>
    </row>
    <row r="10" spans="1:18" ht="21" customHeight="1">
      <c r="B10" s="1877"/>
      <c r="C10" s="1877"/>
      <c r="D10" s="1877"/>
      <c r="E10" s="1877"/>
      <c r="F10" s="1878"/>
      <c r="G10" s="631"/>
      <c r="H10" s="601"/>
      <c r="I10" s="602"/>
      <c r="L10" s="322"/>
      <c r="M10" s="322"/>
      <c r="N10" s="322"/>
      <c r="O10" s="322"/>
      <c r="P10" s="322"/>
      <c r="Q10" s="322"/>
      <c r="R10" s="322"/>
    </row>
    <row r="11" spans="1:18" ht="21" customHeight="1">
      <c r="B11" s="1877"/>
      <c r="C11" s="1877"/>
      <c r="D11" s="1877"/>
      <c r="E11" s="1877"/>
      <c r="F11" s="1878"/>
      <c r="G11" s="631"/>
      <c r="H11" s="601"/>
      <c r="I11" s="602"/>
      <c r="L11" s="322"/>
      <c r="M11" s="322"/>
      <c r="N11" s="322"/>
      <c r="O11" s="322"/>
      <c r="P11" s="322"/>
      <c r="Q11" s="322"/>
      <c r="R11" s="322"/>
    </row>
    <row r="12" spans="1:18" ht="21" customHeight="1">
      <c r="B12" s="1877"/>
      <c r="C12" s="1877"/>
      <c r="D12" s="1877"/>
      <c r="E12" s="1877"/>
      <c r="F12" s="1878"/>
      <c r="G12" s="631"/>
      <c r="H12" s="601"/>
      <c r="I12" s="602"/>
      <c r="L12" s="322"/>
      <c r="M12" s="322"/>
      <c r="N12" s="322"/>
      <c r="O12" s="322"/>
      <c r="P12" s="322"/>
      <c r="Q12" s="322"/>
      <c r="R12" s="322"/>
    </row>
    <row r="13" spans="1:18" ht="21" customHeight="1">
      <c r="B13" s="1877"/>
      <c r="C13" s="1877"/>
      <c r="D13" s="1877"/>
      <c r="E13" s="1877"/>
      <c r="F13" s="1878"/>
      <c r="G13" s="631"/>
      <c r="H13" s="601"/>
      <c r="I13" s="602"/>
      <c r="L13" s="322"/>
      <c r="M13" s="322"/>
      <c r="N13" s="322"/>
      <c r="O13" s="322"/>
      <c r="P13" s="322"/>
      <c r="Q13" s="322"/>
      <c r="R13" s="322"/>
    </row>
    <row r="14" spans="1:18" ht="21" customHeight="1">
      <c r="B14" s="1877"/>
      <c r="C14" s="1877"/>
      <c r="D14" s="1877"/>
      <c r="E14" s="1877"/>
      <c r="F14" s="1878"/>
      <c r="G14" s="632"/>
      <c r="H14" s="601"/>
      <c r="I14" s="602"/>
      <c r="L14" s="322"/>
      <c r="M14" s="322"/>
      <c r="N14" s="322"/>
      <c r="O14" s="322"/>
      <c r="P14" s="322"/>
      <c r="Q14" s="322"/>
      <c r="R14" s="322"/>
    </row>
    <row r="15" spans="1:18" ht="21" customHeight="1">
      <c r="A15" s="1793" t="s">
        <v>3450</v>
      </c>
      <c r="B15" s="1877"/>
      <c r="C15" s="1877"/>
      <c r="D15" s="1877"/>
      <c r="E15" s="1877"/>
      <c r="F15" s="1878"/>
      <c r="G15" s="631"/>
      <c r="H15" s="601"/>
      <c r="I15" s="602"/>
      <c r="L15" s="322"/>
      <c r="M15" s="322"/>
      <c r="N15" s="322"/>
      <c r="O15" s="322"/>
      <c r="P15" s="322"/>
      <c r="Q15" s="322"/>
      <c r="R15" s="322"/>
    </row>
    <row r="16" spans="1:18" ht="21" customHeight="1">
      <c r="A16" s="1793"/>
      <c r="B16" s="1877"/>
      <c r="C16" s="1877"/>
      <c r="D16" s="1877"/>
      <c r="E16" s="1877"/>
      <c r="F16" s="1878"/>
      <c r="G16" s="631"/>
      <c r="H16" s="601"/>
      <c r="I16" s="602"/>
      <c r="L16" s="322"/>
      <c r="M16" s="322"/>
      <c r="N16" s="322"/>
      <c r="O16" s="322"/>
      <c r="P16" s="322"/>
      <c r="Q16" s="322"/>
      <c r="R16" s="322"/>
    </row>
    <row r="17" spans="1:18" ht="21" customHeight="1">
      <c r="A17" s="1793"/>
      <c r="B17" s="1877"/>
      <c r="C17" s="1877"/>
      <c r="D17" s="1877"/>
      <c r="E17" s="1877"/>
      <c r="F17" s="1878"/>
      <c r="G17" s="631"/>
      <c r="H17" s="601"/>
      <c r="I17" s="602"/>
      <c r="L17" s="322"/>
      <c r="M17" s="322"/>
      <c r="N17" s="322"/>
      <c r="O17" s="322"/>
      <c r="P17" s="322"/>
      <c r="Q17" s="322"/>
      <c r="R17" s="322"/>
    </row>
    <row r="18" spans="1:18" ht="21" customHeight="1">
      <c r="A18" s="545"/>
      <c r="B18" s="1877"/>
      <c r="C18" s="1877"/>
      <c r="D18" s="1877"/>
      <c r="E18" s="1877"/>
      <c r="F18" s="1878"/>
      <c r="G18" s="631"/>
      <c r="H18" s="601"/>
      <c r="I18" s="602"/>
      <c r="L18" s="322"/>
      <c r="M18" s="322"/>
      <c r="N18" s="322"/>
      <c r="O18" s="322"/>
      <c r="P18" s="322"/>
      <c r="Q18" s="322"/>
      <c r="R18" s="322"/>
    </row>
    <row r="19" spans="1:18" ht="21" customHeight="1">
      <c r="B19" s="1877"/>
      <c r="C19" s="1877"/>
      <c r="D19" s="1877"/>
      <c r="E19" s="1877"/>
      <c r="F19" s="1878"/>
      <c r="G19" s="631"/>
      <c r="H19" s="601"/>
      <c r="I19" s="602"/>
      <c r="L19" s="322"/>
      <c r="M19" s="322"/>
      <c r="N19" s="322"/>
      <c r="O19" s="322"/>
      <c r="P19" s="322"/>
      <c r="Q19" s="322"/>
      <c r="R19" s="322"/>
    </row>
    <row r="20" spans="1:18" ht="21" customHeight="1">
      <c r="B20" s="1877"/>
      <c r="C20" s="1877"/>
      <c r="D20" s="1877"/>
      <c r="E20" s="1877"/>
      <c r="F20" s="1878"/>
      <c r="G20" s="631"/>
      <c r="H20" s="601"/>
      <c r="I20" s="602"/>
      <c r="L20" s="322"/>
      <c r="M20" s="322"/>
      <c r="N20" s="322"/>
      <c r="O20" s="322"/>
      <c r="P20" s="322"/>
      <c r="Q20" s="322"/>
      <c r="R20" s="322"/>
    </row>
    <row r="21" spans="1:18" ht="21" customHeight="1">
      <c r="B21" s="1877"/>
      <c r="C21" s="1877"/>
      <c r="D21" s="1877"/>
      <c r="E21" s="1877"/>
      <c r="F21" s="1878"/>
      <c r="G21" s="631"/>
      <c r="H21" s="601"/>
      <c r="I21" s="602"/>
      <c r="L21" s="322"/>
      <c r="M21" s="322"/>
      <c r="N21" s="322"/>
      <c r="O21" s="322"/>
      <c r="P21" s="322"/>
      <c r="Q21" s="322"/>
      <c r="R21" s="322"/>
    </row>
    <row r="22" spans="1:18" ht="21" customHeight="1" thickBot="1">
      <c r="B22" s="1877"/>
      <c r="C22" s="1877"/>
      <c r="D22" s="1877"/>
      <c r="E22" s="1877"/>
      <c r="F22" s="1878"/>
      <c r="G22" s="633"/>
      <c r="H22" s="627"/>
      <c r="I22" s="634"/>
      <c r="L22" s="322"/>
      <c r="M22" s="322"/>
      <c r="N22" s="322"/>
      <c r="O22" s="322"/>
      <c r="P22" s="322"/>
      <c r="Q22" s="322"/>
      <c r="R22" s="322"/>
    </row>
    <row r="23" spans="1:18" ht="21" customHeight="1" thickTop="1" thickBot="1">
      <c r="B23" s="1258"/>
      <c r="C23" s="1164"/>
      <c r="D23" s="1375" t="s">
        <v>174</v>
      </c>
      <c r="E23" s="1061"/>
      <c r="F23" s="1275"/>
      <c r="G23" s="1376">
        <f>SUM(G9:G22)</f>
        <v>0</v>
      </c>
      <c r="H23" s="1085">
        <f>SUM(H9:H22)</f>
        <v>0</v>
      </c>
      <c r="I23" s="1163">
        <f>SUM(I9:I22)</f>
        <v>0</v>
      </c>
      <c r="L23" s="322"/>
      <c r="M23" s="322"/>
      <c r="N23" s="322"/>
      <c r="O23" s="322"/>
      <c r="P23" s="322"/>
      <c r="Q23" s="322"/>
      <c r="R23" s="322"/>
    </row>
    <row r="24" spans="1:18" ht="13.5" customHeight="1" thickTop="1">
      <c r="B24" s="805"/>
      <c r="C24" s="411"/>
      <c r="D24" s="806"/>
      <c r="H24" s="504"/>
      <c r="I24" s="504"/>
    </row>
    <row r="25" spans="1:18" ht="13.5" customHeight="1">
      <c r="B25" s="805"/>
      <c r="C25" s="411"/>
      <c r="D25" s="806"/>
    </row>
    <row r="26" spans="1:18" ht="13.5" customHeight="1">
      <c r="B26" s="805"/>
      <c r="C26" s="411"/>
      <c r="D26" s="806"/>
      <c r="H26" s="802"/>
    </row>
    <row r="27" spans="1:18">
      <c r="B27" s="541"/>
      <c r="C27" s="411"/>
      <c r="D27" s="411"/>
    </row>
  </sheetData>
  <sheetProtection algorithmName="SHA-512" hashValue="SoKEPCEEXVb6e1giQ9DUlRfkklq60GykPco2v8FOTLKWmEey65n8+i9pcY8oWgalAaRaKN57//ORY2iF7ctvqg==" saltValue="xxV/cFTpd3R2OOE8pcecs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7">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INPUTS'!D54)&amp;"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698</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8">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INPUTS'!D54)&amp;"  (UTILITY  CAPITAL  FUND)"</f>
        <v>SCHEDULE  OF  IMPROVEMENT  AUTHORIZATIONS    (UTILITY  CAPITAL  FUND)</v>
      </c>
      <c r="C2" s="1789"/>
      <c r="D2" s="1789"/>
      <c r="E2" s="1789"/>
      <c r="F2" s="1789"/>
      <c r="G2" s="1789"/>
      <c r="H2" s="1789"/>
      <c r="I2" s="1789"/>
      <c r="J2" s="1789"/>
      <c r="K2" s="1789"/>
      <c r="L2" s="1789"/>
    </row>
    <row r="3" spans="2:21" ht="9.75" customHeight="1" thickBot="1">
      <c r="B3" s="1956"/>
      <c r="C3" s="1956"/>
      <c r="D3" s="1956"/>
      <c r="E3" s="1956"/>
      <c r="F3" s="1956"/>
      <c r="G3" s="1956"/>
      <c r="H3" s="1956"/>
      <c r="I3" s="1956"/>
      <c r="J3" s="1956"/>
      <c r="K3" s="1956"/>
      <c r="L3" s="1956"/>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3546</v>
      </c>
      <c r="C9" s="1281"/>
      <c r="D9" s="1282"/>
      <c r="E9" s="1279">
        <f>+'52-Utility3'!E27</f>
        <v>0</v>
      </c>
      <c r="F9" s="1279">
        <f>+'52-Utility3'!F27</f>
        <v>0</v>
      </c>
      <c r="G9" s="1279">
        <f>+'52-Utility3'!G27</f>
        <v>0</v>
      </c>
      <c r="H9" s="1279">
        <f>+'52-Utility3'!H27</f>
        <v>0</v>
      </c>
      <c r="I9" s="1279">
        <f>+'52-Utility3'!I27</f>
        <v>0</v>
      </c>
      <c r="J9" s="1279">
        <f>+'52-Utility3'!J27</f>
        <v>0</v>
      </c>
      <c r="K9" s="1279">
        <f>+'52-Utility3'!K27</f>
        <v>0</v>
      </c>
      <c r="L9" s="1283">
        <f>+'52-Utility3'!L27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2:O52"/>
  <sheetViews>
    <sheetView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6384" width="9.109375" style="322"/>
  </cols>
  <sheetData>
    <row r="2" spans="2:15" ht="20.399999999999999">
      <c r="B2" s="1508" t="s">
        <v>3642</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1"/>
      <c r="C5" s="1571"/>
      <c r="D5" s="1571"/>
      <c r="G5" s="734" t="s">
        <v>533</v>
      </c>
      <c r="I5" s="736"/>
      <c r="K5" s="736"/>
    </row>
    <row r="6" spans="2:15">
      <c r="B6" s="1571"/>
      <c r="C6" s="1571"/>
      <c r="D6" s="1571"/>
      <c r="G6" s="297" t="str">
        <f>'KEY INPUTS'!D45</f>
        <v>Dec. 31, 2018</v>
      </c>
      <c r="I6" s="734"/>
      <c r="K6" s="734"/>
      <c r="M6" s="734" t="s">
        <v>672</v>
      </c>
    </row>
    <row r="7" spans="2:15">
      <c r="G7" s="734" t="s">
        <v>552</v>
      </c>
      <c r="I7" s="734"/>
      <c r="K7" s="734"/>
      <c r="M7" s="734" t="s">
        <v>556</v>
      </c>
    </row>
    <row r="8" spans="2:15">
      <c r="B8" s="1571" t="s">
        <v>532</v>
      </c>
      <c r="C8" s="1571"/>
      <c r="D8" s="1571"/>
      <c r="G8" s="736" t="s">
        <v>551</v>
      </c>
      <c r="I8" s="736" t="s">
        <v>546</v>
      </c>
      <c r="K8" s="736" t="s">
        <v>678</v>
      </c>
      <c r="M8" s="294" t="str">
        <f>'KEY INPUTS'!D46</f>
        <v>Dec. 31, 2019</v>
      </c>
    </row>
    <row r="9" spans="2:15">
      <c r="B9" s="736"/>
      <c r="C9" s="736"/>
      <c r="D9" s="736"/>
      <c r="G9" s="250"/>
      <c r="I9" s="736"/>
      <c r="K9" s="736"/>
      <c r="M9" s="133"/>
    </row>
    <row r="10" spans="2:15" ht="21" customHeight="1">
      <c r="B10" s="858" t="s">
        <v>3540</v>
      </c>
      <c r="C10" s="859"/>
      <c r="D10" s="859"/>
      <c r="E10" s="859"/>
      <c r="F10" s="841"/>
      <c r="G10" s="860">
        <f>+'6b-Trust Fund Reserves'!G48</f>
        <v>4869244.87</v>
      </c>
      <c r="H10" s="841"/>
      <c r="I10" s="860">
        <f>+'6b-Trust Fund Reserves'!I48</f>
        <v>4146662.7600000002</v>
      </c>
      <c r="J10" s="841"/>
      <c r="K10" s="860">
        <f>+'6b-Trust Fund Reserves'!K48</f>
        <v>3351624.0200000005</v>
      </c>
      <c r="L10" s="841"/>
      <c r="M10" s="857">
        <f>+'6b-Trust Fund Reserves'!M48</f>
        <v>5664283.6099999994</v>
      </c>
      <c r="N10" s="325"/>
    </row>
    <row r="11" spans="2:15" ht="21" customHeight="1">
      <c r="B11" s="375"/>
      <c r="C11" s="375"/>
      <c r="D11" s="375"/>
      <c r="E11" s="375"/>
      <c r="F11" s="397"/>
      <c r="G11" s="376"/>
      <c r="H11" s="397"/>
      <c r="I11" s="376"/>
      <c r="J11" s="397"/>
      <c r="K11" s="376"/>
      <c r="L11" s="379"/>
      <c r="M11" s="857">
        <f t="shared" ref="M11:M47" si="0">+G11+I11-K11</f>
        <v>0</v>
      </c>
      <c r="N11" s="325"/>
    </row>
    <row r="12" spans="2:15" ht="21" customHeight="1">
      <c r="B12" s="375"/>
      <c r="C12" s="375"/>
      <c r="D12" s="375"/>
      <c r="E12" s="375"/>
      <c r="F12" s="397"/>
      <c r="G12" s="376"/>
      <c r="H12" s="397"/>
      <c r="I12" s="376"/>
      <c r="J12" s="397"/>
      <c r="K12" s="376"/>
      <c r="L12" s="379"/>
      <c r="M12" s="857">
        <f t="shared" si="0"/>
        <v>0</v>
      </c>
      <c r="N12" s="325"/>
    </row>
    <row r="13" spans="2:15" ht="21" customHeight="1">
      <c r="B13" s="375"/>
      <c r="C13" s="375"/>
      <c r="D13" s="375"/>
      <c r="E13" s="375"/>
      <c r="F13" s="397"/>
      <c r="G13" s="376"/>
      <c r="H13" s="397"/>
      <c r="I13" s="666"/>
      <c r="J13" s="397"/>
      <c r="K13" s="376"/>
      <c r="L13" s="379"/>
      <c r="M13" s="857">
        <f t="shared" si="0"/>
        <v>0</v>
      </c>
      <c r="N13" s="325"/>
      <c r="O13" s="377"/>
    </row>
    <row r="14" spans="2:15" ht="21" customHeight="1">
      <c r="B14" s="667"/>
      <c r="C14" s="375"/>
      <c r="D14" s="375"/>
      <c r="E14" s="375"/>
      <c r="F14" s="397"/>
      <c r="G14" s="376"/>
      <c r="H14" s="397"/>
      <c r="I14" s="376"/>
      <c r="J14" s="397"/>
      <c r="K14" s="376"/>
      <c r="L14" s="379"/>
      <c r="M14" s="857">
        <f t="shared" si="0"/>
        <v>0</v>
      </c>
      <c r="N14" s="325"/>
    </row>
    <row r="15" spans="2:15" ht="21" customHeight="1">
      <c r="B15" s="375"/>
      <c r="C15" s="375"/>
      <c r="D15" s="375"/>
      <c r="E15" s="375"/>
      <c r="F15" s="397"/>
      <c r="G15" s="376"/>
      <c r="H15" s="397"/>
      <c r="I15" s="376"/>
      <c r="J15" s="397"/>
      <c r="K15" s="376"/>
      <c r="L15" s="379"/>
      <c r="M15" s="857">
        <f t="shared" si="0"/>
        <v>0</v>
      </c>
      <c r="N15" s="325"/>
    </row>
    <row r="16" spans="2:15" ht="21" customHeight="1">
      <c r="B16" s="375"/>
      <c r="C16" s="375"/>
      <c r="D16" s="375"/>
      <c r="E16" s="375"/>
      <c r="F16" s="397"/>
      <c r="G16" s="376"/>
      <c r="H16" s="397"/>
      <c r="I16" s="376"/>
      <c r="J16" s="397"/>
      <c r="K16" s="376"/>
      <c r="L16" s="379"/>
      <c r="M16" s="857">
        <f t="shared" si="0"/>
        <v>0</v>
      </c>
      <c r="N16" s="325"/>
    </row>
    <row r="17" spans="2:14" ht="21" customHeight="1">
      <c r="B17" s="375"/>
      <c r="C17" s="375"/>
      <c r="D17" s="375"/>
      <c r="E17" s="375"/>
      <c r="F17" s="397"/>
      <c r="G17" s="376"/>
      <c r="H17" s="397"/>
      <c r="I17" s="376"/>
      <c r="J17" s="397"/>
      <c r="K17" s="376"/>
      <c r="L17" s="379"/>
      <c r="M17" s="857">
        <f t="shared" si="0"/>
        <v>0</v>
      </c>
      <c r="N17" s="325"/>
    </row>
    <row r="18" spans="2:14" ht="21" customHeight="1">
      <c r="B18" s="375"/>
      <c r="C18" s="375"/>
      <c r="D18" s="375"/>
      <c r="E18" s="375"/>
      <c r="F18" s="397"/>
      <c r="G18" s="376"/>
      <c r="H18" s="397"/>
      <c r="I18" s="376"/>
      <c r="J18" s="397"/>
      <c r="K18" s="376"/>
      <c r="L18" s="379"/>
      <c r="M18" s="857">
        <f t="shared" si="0"/>
        <v>0</v>
      </c>
      <c r="N18" s="325"/>
    </row>
    <row r="19" spans="2:14" ht="21" customHeight="1">
      <c r="B19" s="667"/>
      <c r="C19" s="375"/>
      <c r="D19" s="375"/>
      <c r="E19" s="375"/>
      <c r="F19" s="397"/>
      <c r="G19" s="376"/>
      <c r="H19" s="397"/>
      <c r="I19" s="376"/>
      <c r="J19" s="397"/>
      <c r="K19" s="376"/>
      <c r="L19" s="379"/>
      <c r="M19" s="857">
        <f t="shared" si="0"/>
        <v>0</v>
      </c>
      <c r="N19" s="325"/>
    </row>
    <row r="20" spans="2:14" ht="21" customHeight="1">
      <c r="B20" s="667"/>
      <c r="C20" s="375"/>
      <c r="D20" s="375"/>
      <c r="E20" s="375"/>
      <c r="F20" s="397"/>
      <c r="G20" s="376"/>
      <c r="H20" s="397"/>
      <c r="I20" s="376"/>
      <c r="J20" s="397"/>
      <c r="K20" s="376"/>
      <c r="L20" s="379"/>
      <c r="M20" s="857">
        <f t="shared" si="0"/>
        <v>0</v>
      </c>
      <c r="N20" s="325"/>
    </row>
    <row r="21" spans="2:14" ht="21" customHeight="1">
      <c r="B21" s="667"/>
      <c r="C21" s="375"/>
      <c r="D21" s="375"/>
      <c r="E21" s="375"/>
      <c r="F21" s="397"/>
      <c r="G21" s="376"/>
      <c r="H21" s="397"/>
      <c r="I21" s="376"/>
      <c r="J21" s="397"/>
      <c r="K21" s="376"/>
      <c r="L21" s="379"/>
      <c r="M21" s="857">
        <f t="shared" si="0"/>
        <v>0</v>
      </c>
      <c r="N21" s="325"/>
    </row>
    <row r="22" spans="2:14" ht="21" customHeight="1">
      <c r="B22" s="667"/>
      <c r="C22" s="375"/>
      <c r="D22" s="375"/>
      <c r="E22" s="375"/>
      <c r="F22" s="397"/>
      <c r="G22" s="376"/>
      <c r="H22" s="397"/>
      <c r="I22" s="376"/>
      <c r="J22" s="397"/>
      <c r="K22" s="376"/>
      <c r="L22" s="379"/>
      <c r="M22" s="857">
        <f t="shared" si="0"/>
        <v>0</v>
      </c>
      <c r="N22" s="325"/>
    </row>
    <row r="23" spans="2:14" ht="21" customHeight="1">
      <c r="B23" s="667"/>
      <c r="C23" s="375"/>
      <c r="D23" s="375"/>
      <c r="E23" s="375"/>
      <c r="F23" s="397"/>
      <c r="G23" s="376"/>
      <c r="H23" s="397"/>
      <c r="I23" s="376"/>
      <c r="J23" s="397"/>
      <c r="K23" s="376"/>
      <c r="L23" s="379"/>
      <c r="M23" s="857">
        <f t="shared" si="0"/>
        <v>0</v>
      </c>
      <c r="N23" s="325"/>
    </row>
    <row r="24" spans="2:14" ht="21" customHeight="1">
      <c r="B24" s="667"/>
      <c r="C24" s="375"/>
      <c r="D24" s="375"/>
      <c r="E24" s="375"/>
      <c r="F24" s="397"/>
      <c r="G24" s="376"/>
      <c r="H24" s="397"/>
      <c r="I24" s="376"/>
      <c r="J24" s="397"/>
      <c r="K24" s="376"/>
      <c r="L24" s="379"/>
      <c r="M24" s="857">
        <f t="shared" si="0"/>
        <v>0</v>
      </c>
      <c r="N24" s="325"/>
    </row>
    <row r="25" spans="2:14" ht="21" customHeight="1">
      <c r="B25" s="375"/>
      <c r="C25" s="375"/>
      <c r="D25" s="375"/>
      <c r="E25" s="375"/>
      <c r="F25" s="397"/>
      <c r="G25" s="376"/>
      <c r="H25" s="397"/>
      <c r="I25" s="376"/>
      <c r="J25" s="397"/>
      <c r="K25" s="376"/>
      <c r="L25" s="379"/>
      <c r="M25" s="857">
        <f t="shared" si="0"/>
        <v>0</v>
      </c>
      <c r="N25" s="325"/>
    </row>
    <row r="26" spans="2:14" ht="21" customHeight="1">
      <c r="B26" s="375"/>
      <c r="C26" s="375"/>
      <c r="D26" s="375"/>
      <c r="E26" s="375"/>
      <c r="F26" s="397"/>
      <c r="G26" s="376"/>
      <c r="H26" s="397"/>
      <c r="I26" s="376"/>
      <c r="J26" s="397"/>
      <c r="K26" s="376"/>
      <c r="L26" s="379"/>
      <c r="M26" s="857">
        <f t="shared" si="0"/>
        <v>0</v>
      </c>
    </row>
    <row r="27" spans="2:14" ht="21" customHeight="1">
      <c r="B27" s="375"/>
      <c r="C27" s="375"/>
      <c r="D27" s="375"/>
      <c r="E27" s="375"/>
      <c r="F27" s="397"/>
      <c r="G27" s="376"/>
      <c r="H27" s="397"/>
      <c r="I27" s="376"/>
      <c r="J27" s="397"/>
      <c r="K27" s="376"/>
      <c r="L27" s="379"/>
      <c r="M27" s="857">
        <f t="shared" si="0"/>
        <v>0</v>
      </c>
    </row>
    <row r="28" spans="2:14" ht="21" customHeight="1">
      <c r="B28" s="375"/>
      <c r="C28" s="375"/>
      <c r="D28" s="375"/>
      <c r="E28" s="375"/>
      <c r="F28" s="397"/>
      <c r="G28" s="376"/>
      <c r="H28" s="397"/>
      <c r="I28" s="376"/>
      <c r="J28" s="397"/>
      <c r="K28" s="376"/>
      <c r="L28" s="379"/>
      <c r="M28" s="857">
        <f t="shared" si="0"/>
        <v>0</v>
      </c>
    </row>
    <row r="29" spans="2:14" ht="21" customHeight="1">
      <c r="B29" s="375"/>
      <c r="C29" s="375"/>
      <c r="D29" s="375"/>
      <c r="E29" s="375"/>
      <c r="F29" s="397"/>
      <c r="G29" s="376"/>
      <c r="H29" s="397"/>
      <c r="I29" s="376"/>
      <c r="J29" s="397"/>
      <c r="K29" s="376"/>
      <c r="L29" s="379"/>
      <c r="M29" s="857">
        <f t="shared" si="0"/>
        <v>0</v>
      </c>
    </row>
    <row r="30" spans="2:14" ht="21" customHeight="1">
      <c r="B30" s="375"/>
      <c r="C30" s="375"/>
      <c r="D30" s="375"/>
      <c r="E30" s="375"/>
      <c r="F30" s="397"/>
      <c r="G30" s="376"/>
      <c r="H30" s="397"/>
      <c r="I30" s="376"/>
      <c r="J30" s="397"/>
      <c r="K30" s="376"/>
      <c r="L30" s="379"/>
      <c r="M30" s="857">
        <f t="shared" si="0"/>
        <v>0</v>
      </c>
    </row>
    <row r="31" spans="2:14" ht="21" customHeight="1">
      <c r="B31" s="375"/>
      <c r="C31" s="375"/>
      <c r="D31" s="375"/>
      <c r="E31" s="375"/>
      <c r="F31" s="397"/>
      <c r="G31" s="376"/>
      <c r="H31" s="397"/>
      <c r="I31" s="376"/>
      <c r="J31" s="397"/>
      <c r="K31" s="376"/>
      <c r="L31" s="379"/>
      <c r="M31" s="857">
        <f t="shared" si="0"/>
        <v>0</v>
      </c>
    </row>
    <row r="32" spans="2:14" ht="21" customHeight="1">
      <c r="B32" s="375"/>
      <c r="C32" s="375"/>
      <c r="D32" s="375"/>
      <c r="E32" s="375"/>
      <c r="F32" s="397"/>
      <c r="G32" s="376"/>
      <c r="H32" s="397"/>
      <c r="I32" s="376"/>
      <c r="J32" s="397"/>
      <c r="K32" s="376"/>
      <c r="L32" s="379"/>
      <c r="M32" s="857">
        <f t="shared" si="0"/>
        <v>0</v>
      </c>
    </row>
    <row r="33" spans="2:13" ht="21" customHeight="1">
      <c r="B33" s="375"/>
      <c r="C33" s="375"/>
      <c r="D33" s="375"/>
      <c r="E33" s="375"/>
      <c r="F33" s="397"/>
      <c r="G33" s="376"/>
      <c r="H33" s="397"/>
      <c r="I33" s="376"/>
      <c r="J33" s="397"/>
      <c r="K33" s="376"/>
      <c r="L33" s="379"/>
      <c r="M33" s="857">
        <f t="shared" si="0"/>
        <v>0</v>
      </c>
    </row>
    <row r="34" spans="2:13" ht="21" customHeight="1">
      <c r="B34" s="375"/>
      <c r="C34" s="375"/>
      <c r="D34" s="375"/>
      <c r="E34" s="375"/>
      <c r="F34" s="397"/>
      <c r="G34" s="376"/>
      <c r="H34" s="397"/>
      <c r="I34" s="376"/>
      <c r="J34" s="397"/>
      <c r="K34" s="376"/>
      <c r="L34" s="379"/>
      <c r="M34" s="857">
        <f t="shared" si="0"/>
        <v>0</v>
      </c>
    </row>
    <row r="35" spans="2:13" ht="21" customHeight="1">
      <c r="B35" s="375"/>
      <c r="C35" s="375"/>
      <c r="D35" s="375"/>
      <c r="E35" s="375"/>
      <c r="F35" s="397"/>
      <c r="G35" s="376"/>
      <c r="H35" s="397"/>
      <c r="I35" s="376"/>
      <c r="J35" s="397"/>
      <c r="K35" s="376"/>
      <c r="L35" s="379"/>
      <c r="M35" s="857">
        <f t="shared" si="0"/>
        <v>0</v>
      </c>
    </row>
    <row r="36" spans="2:13" ht="21" customHeight="1">
      <c r="B36" s="375"/>
      <c r="C36" s="375"/>
      <c r="D36" s="375"/>
      <c r="E36" s="375"/>
      <c r="F36" s="397"/>
      <c r="G36" s="376"/>
      <c r="H36" s="397"/>
      <c r="I36" s="376"/>
      <c r="J36" s="397"/>
      <c r="K36" s="376"/>
      <c r="L36" s="379"/>
      <c r="M36" s="857">
        <f t="shared" si="0"/>
        <v>0</v>
      </c>
    </row>
    <row r="37" spans="2:13" ht="21" customHeight="1">
      <c r="B37" s="375"/>
      <c r="C37" s="375"/>
      <c r="D37" s="375"/>
      <c r="E37" s="375"/>
      <c r="F37" s="397"/>
      <c r="G37" s="376"/>
      <c r="H37" s="397"/>
      <c r="I37" s="376"/>
      <c r="J37" s="397"/>
      <c r="K37" s="376"/>
      <c r="L37" s="379"/>
      <c r="M37" s="857">
        <f t="shared" si="0"/>
        <v>0</v>
      </c>
    </row>
    <row r="38" spans="2:13" ht="21" customHeight="1">
      <c r="B38" s="375"/>
      <c r="C38" s="375"/>
      <c r="D38" s="375"/>
      <c r="E38" s="375"/>
      <c r="F38" s="397"/>
      <c r="G38" s="376"/>
      <c r="H38" s="397"/>
      <c r="I38" s="376"/>
      <c r="J38" s="397"/>
      <c r="K38" s="376"/>
      <c r="L38" s="379"/>
      <c r="M38" s="857">
        <f t="shared" si="0"/>
        <v>0</v>
      </c>
    </row>
    <row r="39" spans="2:13" ht="21" customHeight="1">
      <c r="B39" s="375"/>
      <c r="C39" s="375"/>
      <c r="D39" s="375"/>
      <c r="E39" s="375"/>
      <c r="F39" s="397"/>
      <c r="G39" s="376"/>
      <c r="H39" s="397"/>
      <c r="I39" s="376"/>
      <c r="J39" s="397"/>
      <c r="K39" s="376"/>
      <c r="L39" s="379"/>
      <c r="M39" s="857">
        <f t="shared" si="0"/>
        <v>0</v>
      </c>
    </row>
    <row r="40" spans="2:13" ht="21" customHeight="1">
      <c r="B40" s="375"/>
      <c r="C40" s="375"/>
      <c r="D40" s="375"/>
      <c r="E40" s="375"/>
      <c r="F40" s="397"/>
      <c r="G40" s="376"/>
      <c r="H40" s="397"/>
      <c r="I40" s="376"/>
      <c r="J40" s="397"/>
      <c r="K40" s="376"/>
      <c r="L40" s="379"/>
      <c r="M40" s="857">
        <f t="shared" si="0"/>
        <v>0</v>
      </c>
    </row>
    <row r="41" spans="2:13" ht="21" customHeight="1">
      <c r="B41" s="375"/>
      <c r="C41" s="375"/>
      <c r="D41" s="375"/>
      <c r="E41" s="375"/>
      <c r="F41" s="397"/>
      <c r="G41" s="376"/>
      <c r="H41" s="397"/>
      <c r="I41" s="376"/>
      <c r="J41" s="397"/>
      <c r="K41" s="376"/>
      <c r="L41" s="379"/>
      <c r="M41" s="857">
        <f t="shared" si="0"/>
        <v>0</v>
      </c>
    </row>
    <row r="42" spans="2:13" ht="21" customHeight="1">
      <c r="B42" s="375"/>
      <c r="C42" s="375"/>
      <c r="D42" s="375"/>
      <c r="E42" s="375"/>
      <c r="F42" s="397"/>
      <c r="G42" s="376"/>
      <c r="H42" s="397"/>
      <c r="I42" s="376"/>
      <c r="J42" s="397"/>
      <c r="K42" s="376"/>
      <c r="L42" s="379"/>
      <c r="M42" s="857">
        <f t="shared" si="0"/>
        <v>0</v>
      </c>
    </row>
    <row r="43" spans="2:13" ht="21" customHeight="1">
      <c r="B43" s="375"/>
      <c r="C43" s="375"/>
      <c r="D43" s="375"/>
      <c r="E43" s="375"/>
      <c r="F43" s="397"/>
      <c r="G43" s="376"/>
      <c r="H43" s="397"/>
      <c r="I43" s="376"/>
      <c r="J43" s="397"/>
      <c r="K43" s="376"/>
      <c r="L43" s="379"/>
      <c r="M43" s="857">
        <f t="shared" si="0"/>
        <v>0</v>
      </c>
    </row>
    <row r="44" spans="2:13" ht="21" customHeight="1">
      <c r="B44" s="375"/>
      <c r="C44" s="375"/>
      <c r="D44" s="375"/>
      <c r="E44" s="375"/>
      <c r="F44" s="397"/>
      <c r="G44" s="376"/>
      <c r="H44" s="397"/>
      <c r="I44" s="376"/>
      <c r="J44" s="397"/>
      <c r="K44" s="376"/>
      <c r="L44" s="379"/>
      <c r="M44" s="857">
        <f t="shared" si="0"/>
        <v>0</v>
      </c>
    </row>
    <row r="45" spans="2:13" ht="21" customHeight="1">
      <c r="B45" s="375"/>
      <c r="C45" s="375"/>
      <c r="D45" s="375"/>
      <c r="E45" s="375"/>
      <c r="F45" s="397"/>
      <c r="G45" s="376"/>
      <c r="H45" s="397"/>
      <c r="I45" s="376"/>
      <c r="J45" s="397"/>
      <c r="K45" s="376"/>
      <c r="L45" s="379"/>
      <c r="M45" s="857">
        <f t="shared" si="0"/>
        <v>0</v>
      </c>
    </row>
    <row r="46" spans="2:13" ht="21" customHeight="1">
      <c r="B46" s="375"/>
      <c r="C46" s="375"/>
      <c r="D46" s="375"/>
      <c r="E46" s="375"/>
      <c r="F46" s="397"/>
      <c r="G46" s="376"/>
      <c r="H46" s="397"/>
      <c r="I46" s="376"/>
      <c r="J46" s="397"/>
      <c r="K46" s="376"/>
      <c r="L46" s="379"/>
      <c r="M46" s="857">
        <f t="shared" si="0"/>
        <v>0</v>
      </c>
    </row>
    <row r="47" spans="2:13" ht="21" customHeight="1">
      <c r="B47" s="375"/>
      <c r="C47" s="375"/>
      <c r="D47" s="375"/>
      <c r="E47" s="375"/>
      <c r="F47" s="397"/>
      <c r="G47" s="376"/>
      <c r="H47" s="397"/>
      <c r="I47" s="376"/>
      <c r="J47" s="397"/>
      <c r="K47" s="376"/>
      <c r="L47" s="379"/>
      <c r="M47" s="857">
        <f t="shared" si="0"/>
        <v>0</v>
      </c>
    </row>
    <row r="48" spans="2:13" ht="21" customHeight="1">
      <c r="B48" s="286"/>
      <c r="C48" s="286"/>
      <c r="D48" s="151" t="s">
        <v>3539</v>
      </c>
      <c r="E48" s="286"/>
      <c r="F48" s="322" t="s">
        <v>482</v>
      </c>
      <c r="G48" s="160">
        <f>SUM(G10:G47)</f>
        <v>4869244.87</v>
      </c>
      <c r="H48" s="322" t="s">
        <v>482</v>
      </c>
      <c r="I48" s="160">
        <f>SUM(I10:I47)</f>
        <v>4146662.7600000002</v>
      </c>
      <c r="J48" s="322" t="s">
        <v>482</v>
      </c>
      <c r="K48" s="160">
        <f>SUM(K10:K47)</f>
        <v>3351624.0200000005</v>
      </c>
      <c r="L48" s="322" t="s">
        <v>482</v>
      </c>
      <c r="M48" s="857">
        <f>SUM(M10:M47)</f>
        <v>5664283.6099999994</v>
      </c>
    </row>
    <row r="50" spans="2:13" ht="13.8">
      <c r="B50" s="1572" t="s">
        <v>3537</v>
      </c>
      <c r="C50" s="1572"/>
      <c r="D50" s="1572"/>
      <c r="E50" s="1572"/>
      <c r="F50" s="1572"/>
      <c r="G50" s="1572"/>
      <c r="H50" s="1572"/>
      <c r="I50" s="1572"/>
      <c r="J50" s="1572"/>
      <c r="K50" s="1572"/>
      <c r="L50" s="1572"/>
      <c r="M50" s="1572"/>
    </row>
    <row r="52" spans="2:13">
      <c r="G52" s="325"/>
      <c r="M52" s="325"/>
    </row>
  </sheetData>
  <sheetProtection algorithmName="SHA-512" hashValue="dIdhN8O8Y6iDr/1leGl/2fvL5g3vZ3jMwz3Iz7d95+YQl/PROnatuoD0j+AR1VXF7rUqhOCYvU5qD8ombm+9IQ==" saltValue="3Ak4msNZ4UfXeYfsF6SCF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19">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INPUTS'!D54)&amp;"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3546</v>
      </c>
      <c r="C9" s="1281"/>
      <c r="D9" s="1282"/>
      <c r="E9" s="1279">
        <f>+'52.1-Utility3'!E27</f>
        <v>0</v>
      </c>
      <c r="F9" s="1279">
        <f>+'52.1-Utility3'!F27</f>
        <v>0</v>
      </c>
      <c r="G9" s="1279">
        <f>+'52.1-Utility3'!G27</f>
        <v>0</v>
      </c>
      <c r="H9" s="1279">
        <f>+'52.1-Utility3'!H27</f>
        <v>0</v>
      </c>
      <c r="I9" s="1279">
        <f>+'52.1-Utility3'!I27</f>
        <v>0</v>
      </c>
      <c r="J9" s="1279">
        <f>+'52.1-Utility3'!J27</f>
        <v>0</v>
      </c>
      <c r="K9" s="1279">
        <f>+'52.1-Utility3'!K27</f>
        <v>0</v>
      </c>
      <c r="L9" s="1283">
        <f>+'52.1-Utility3'!L27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0">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INPUTS'!D54)&amp;"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3546</v>
      </c>
      <c r="C9" s="1281"/>
      <c r="D9" s="1282"/>
      <c r="E9" s="1279">
        <f>+'52.2-Utility3'!E27</f>
        <v>0</v>
      </c>
      <c r="F9" s="1279">
        <f>+'52.2-Utility3'!F27</f>
        <v>0</v>
      </c>
      <c r="G9" s="1279">
        <f>+'52.2-Utility3'!G27</f>
        <v>0</v>
      </c>
      <c r="H9" s="1279">
        <f>+'52.2-Utility3'!H27</f>
        <v>0</v>
      </c>
      <c r="I9" s="1279">
        <f>+'52.2-Utility3'!I27</f>
        <v>0</v>
      </c>
      <c r="J9" s="1279">
        <f>+'52.2-Utility3'!J27</f>
        <v>0</v>
      </c>
      <c r="K9" s="1279">
        <f>+'52.2-Utility3'!K27</f>
        <v>0</v>
      </c>
      <c r="L9" s="1283">
        <f>+'52.2-Utility3'!L27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1">
    <tabColor theme="5" tint="0.59999389629810485"/>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INPUTS'!D54)&amp;"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85" t="str">
        <f>'KEY INPUTS'!D25</f>
        <v>Balance - January 1, 2019</v>
      </c>
      <c r="F4" s="1886"/>
      <c r="G4" s="1145"/>
      <c r="H4" s="1145"/>
      <c r="I4" s="1145"/>
      <c r="J4" s="1145"/>
      <c r="K4" s="1891" t="str">
        <f>'KEY INPUTS'!D26</f>
        <v>Balance - December 31, 2019</v>
      </c>
      <c r="L4" s="1892"/>
    </row>
    <row r="5" spans="2:21" ht="13.5" customHeight="1">
      <c r="B5" s="1788" t="s">
        <v>656</v>
      </c>
      <c r="C5" s="1788"/>
      <c r="D5" s="1872"/>
      <c r="E5" s="1887"/>
      <c r="F5" s="1888"/>
      <c r="G5" s="1153"/>
      <c r="H5" s="1153"/>
      <c r="I5" s="1153"/>
      <c r="J5" s="1153"/>
      <c r="K5" s="1893"/>
      <c r="L5" s="1894"/>
    </row>
    <row r="6" spans="2:21" ht="13.5" customHeight="1">
      <c r="B6" s="1788" t="s">
        <v>657</v>
      </c>
      <c r="C6" s="1788"/>
      <c r="D6" s="1872"/>
      <c r="E6" s="1889"/>
      <c r="F6" s="1890"/>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3546</v>
      </c>
      <c r="C9" s="1281"/>
      <c r="D9" s="1282"/>
      <c r="E9" s="1279">
        <f>+'52.3-Utility3'!E27</f>
        <v>0</v>
      </c>
      <c r="F9" s="1279">
        <f>+'52.3-Utility3'!F27</f>
        <v>0</v>
      </c>
      <c r="G9" s="1279">
        <f>+'52.3-Utility3'!G27</f>
        <v>0</v>
      </c>
      <c r="H9" s="1279">
        <f>+'52.3-Utility3'!H27</f>
        <v>0</v>
      </c>
      <c r="I9" s="1279">
        <f>+'52.3-Utility3'!I27</f>
        <v>0</v>
      </c>
      <c r="J9" s="1279">
        <f>+'52.3-Utility3'!J27</f>
        <v>0</v>
      </c>
      <c r="K9" s="1279">
        <f>+'52.3-Utility3'!K27</f>
        <v>0</v>
      </c>
      <c r="L9" s="1283">
        <f>+'52.3-Utility3'!L27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3658</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3657</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2">
    <tabColor theme="5" tint="0.59999389629810485"/>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8"/>
      <c r="C1" s="1148"/>
      <c r="D1" s="1148"/>
      <c r="E1" s="1148"/>
      <c r="F1" s="1148"/>
      <c r="G1" s="1148"/>
      <c r="H1" s="1148"/>
      <c r="I1" s="1148"/>
      <c r="J1" s="1148"/>
    </row>
    <row r="2" spans="2:19">
      <c r="B2" s="1148"/>
      <c r="C2" s="1148"/>
      <c r="D2" s="1148"/>
      <c r="E2" s="1148"/>
      <c r="F2" s="1148"/>
      <c r="G2" s="1148"/>
      <c r="H2" s="1148"/>
      <c r="I2" s="1148"/>
      <c r="J2" s="1148"/>
    </row>
    <row r="3" spans="2:19" ht="22.8">
      <c r="B3" s="1760" t="str">
        <f>UPPER('KEY INPUTS'!D$54)&amp;" UTILITY  CAPITAL  FUND"</f>
        <v xml:space="preserve"> UTILITY  CAPITAL  FUND</v>
      </c>
      <c r="C3" s="1760"/>
      <c r="D3" s="1760"/>
      <c r="E3" s="1760"/>
      <c r="F3" s="1760"/>
      <c r="G3" s="1760"/>
      <c r="H3" s="1760"/>
      <c r="I3" s="1760"/>
      <c r="J3" s="1760"/>
    </row>
    <row r="4" spans="2:19">
      <c r="B4" s="1148"/>
      <c r="C4" s="1148"/>
      <c r="D4" s="1148"/>
      <c r="E4" s="1148"/>
      <c r="F4" s="1148"/>
      <c r="G4" s="1148"/>
      <c r="H4" s="1148"/>
      <c r="I4" s="1148"/>
      <c r="J4" s="1148"/>
    </row>
    <row r="5" spans="2:19" ht="15.6">
      <c r="B5" s="1784" t="s">
        <v>668</v>
      </c>
      <c r="C5" s="1784"/>
      <c r="D5" s="1784"/>
      <c r="E5" s="1784"/>
      <c r="F5" s="1784"/>
      <c r="G5" s="1784"/>
      <c r="H5" s="1784"/>
      <c r="I5" s="1784"/>
      <c r="J5" s="1784"/>
    </row>
    <row r="6" spans="2:19" ht="13.8" thickBot="1">
      <c r="B6" s="1148"/>
      <c r="C6" s="1148"/>
      <c r="D6" s="1148"/>
      <c r="E6" s="1148"/>
      <c r="F6" s="1148"/>
      <c r="G6" s="1148"/>
      <c r="H6" s="1148"/>
      <c r="I6" s="1148"/>
      <c r="J6" s="1148"/>
    </row>
    <row r="7" spans="2:19" ht="28.5" customHeight="1" thickTop="1" thickBot="1">
      <c r="B7" s="1390"/>
      <c r="C7" s="1390"/>
      <c r="D7" s="1390"/>
      <c r="E7" s="1390"/>
      <c r="F7" s="1390"/>
      <c r="G7" s="1390"/>
      <c r="H7" s="1390"/>
      <c r="I7" s="1136" t="s">
        <v>125</v>
      </c>
      <c r="J7" s="1137" t="s">
        <v>126</v>
      </c>
    </row>
    <row r="8" spans="2:19" ht="21" customHeight="1" thickTop="1">
      <c r="B8" s="1160" t="str">
        <f>'KEY INPUTS'!D25</f>
        <v>Balance - January 1, 2019</v>
      </c>
      <c r="C8" s="1160"/>
      <c r="D8" s="1160"/>
      <c r="E8" s="1160"/>
      <c r="F8" s="1160"/>
      <c r="G8" s="1160"/>
      <c r="H8" s="1402"/>
      <c r="I8" s="1090" t="s">
        <v>788</v>
      </c>
      <c r="J8" s="639"/>
    </row>
    <row r="9" spans="2:19" ht="21" customHeight="1">
      <c r="B9" s="1141" t="str">
        <f>"Received from "&amp;'KEY INPUTS'!D34&amp;" Budget Appropriation"</f>
        <v>Received from 2019 Budget Appropriation</v>
      </c>
      <c r="C9" s="1141"/>
      <c r="D9" s="1141"/>
      <c r="E9" s="1141"/>
      <c r="F9" s="1141"/>
      <c r="G9" s="1141"/>
      <c r="H9" s="1403"/>
      <c r="I9" s="975" t="s">
        <v>788</v>
      </c>
      <c r="J9" s="609"/>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1404" t="s">
        <v>224</v>
      </c>
      <c r="C11" s="1405"/>
      <c r="D11" s="1405"/>
      <c r="E11" s="1405"/>
      <c r="F11" s="1405"/>
      <c r="G11" s="1405"/>
      <c r="H11" s="1406"/>
      <c r="I11" s="1907" t="s">
        <v>788</v>
      </c>
      <c r="J11" s="1905"/>
      <c r="M11" s="377"/>
      <c r="N11" s="322"/>
      <c r="O11" s="322"/>
      <c r="P11" s="322"/>
      <c r="Q11" s="322"/>
      <c r="R11" s="322"/>
      <c r="S11" s="322"/>
    </row>
    <row r="12" spans="2:19" ht="12.75" customHeight="1">
      <c r="B12" s="1393"/>
      <c r="C12" s="1407" t="s">
        <v>225</v>
      </c>
      <c r="D12" s="1393"/>
      <c r="E12" s="1393"/>
      <c r="F12" s="1393"/>
      <c r="G12" s="1393"/>
      <c r="H12" s="140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1141" t="s">
        <v>229</v>
      </c>
      <c r="C22" s="1141"/>
      <c r="D22" s="1141"/>
      <c r="E22" s="1141"/>
      <c r="F22" s="1141"/>
      <c r="G22" s="1141"/>
      <c r="H22" s="1403"/>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1141" t="str">
        <f>'KEY INPUTS'!D26</f>
        <v>Balance - December 31, 2019</v>
      </c>
      <c r="C24" s="1141"/>
      <c r="D24" s="1141"/>
      <c r="E24" s="1141"/>
      <c r="F24" s="1141"/>
      <c r="G24" s="1141"/>
      <c r="H24" s="1403"/>
      <c r="I24" s="1108">
        <f>+SUM(J8:J13)-SUM(I13:I23)</f>
        <v>0</v>
      </c>
      <c r="J24" s="1106" t="s">
        <v>788</v>
      </c>
      <c r="M24" s="322"/>
      <c r="N24" s="322"/>
      <c r="O24" s="322"/>
      <c r="P24" s="322"/>
      <c r="Q24" s="322"/>
      <c r="R24" s="322"/>
      <c r="S24" s="322"/>
    </row>
    <row r="25" spans="2:19" ht="21" customHeight="1" thickTop="1" thickBot="1">
      <c r="I25" s="1063">
        <f>SUM(I8:I24)</f>
        <v>0</v>
      </c>
      <c r="J25" s="1109">
        <f>SUM(J8:J24)</f>
        <v>0</v>
      </c>
      <c r="M25" s="322"/>
      <c r="N25" s="322"/>
      <c r="O25" s="322"/>
      <c r="P25" s="322"/>
      <c r="Q25" s="322"/>
      <c r="R25" s="322"/>
      <c r="S25" s="322"/>
    </row>
    <row r="26" spans="2:19" ht="13.8" thickTop="1"/>
    <row r="30" spans="2:19" ht="22.8">
      <c r="B30" s="1760" t="str">
        <f>UPPER('KEY INPUTS'!D$54)&amp;" UTILITY  CAPITAL  FUND"</f>
        <v xml:space="preserve"> UTILITY  CAPITAL  FUND</v>
      </c>
      <c r="C30" s="1760"/>
      <c r="D30" s="1760"/>
      <c r="E30" s="1760"/>
      <c r="F30" s="1760"/>
      <c r="G30" s="1760"/>
      <c r="H30" s="1760"/>
      <c r="I30" s="1760"/>
      <c r="J30" s="1760"/>
    </row>
    <row r="31" spans="2:19" ht="7.5" customHeight="1">
      <c r="B31" s="1148"/>
      <c r="C31" s="1148"/>
      <c r="D31" s="1148"/>
      <c r="E31" s="1148"/>
      <c r="F31" s="1148"/>
      <c r="G31" s="1148"/>
      <c r="H31" s="1148"/>
      <c r="I31" s="1148"/>
      <c r="J31" s="1148"/>
    </row>
    <row r="32" spans="2:19" ht="15.6">
      <c r="B32" s="1784" t="s">
        <v>234</v>
      </c>
      <c r="C32" s="1784"/>
      <c r="D32" s="1784"/>
      <c r="E32" s="1784"/>
      <c r="F32" s="1784"/>
      <c r="G32" s="1784"/>
      <c r="H32" s="1784"/>
      <c r="I32" s="1784"/>
      <c r="J32" s="1784"/>
    </row>
    <row r="33" spans="2:10" ht="13.8" thickBot="1">
      <c r="B33" s="1148"/>
      <c r="C33" s="1148"/>
      <c r="D33" s="1148"/>
      <c r="E33" s="1148"/>
      <c r="F33" s="1148"/>
      <c r="G33" s="1148"/>
      <c r="H33" s="1148"/>
      <c r="I33" s="1148"/>
      <c r="J33" s="1148"/>
    </row>
    <row r="34" spans="2:10" ht="26.25" customHeight="1" thickTop="1" thickBot="1">
      <c r="B34" s="1390"/>
      <c r="C34" s="1390"/>
      <c r="D34" s="1390"/>
      <c r="E34" s="1390"/>
      <c r="F34" s="1390"/>
      <c r="G34" s="1390"/>
      <c r="H34" s="1390"/>
      <c r="I34" s="1136" t="s">
        <v>125</v>
      </c>
      <c r="J34" s="1137" t="s">
        <v>126</v>
      </c>
    </row>
    <row r="35" spans="2:10" ht="21" customHeight="1" thickTop="1">
      <c r="B35" s="1160" t="str">
        <f>'KEY INPUTS'!D25</f>
        <v>Balance - January 1, 2019</v>
      </c>
      <c r="C35" s="1160"/>
      <c r="D35" s="1160"/>
      <c r="E35" s="1160"/>
      <c r="F35" s="1160"/>
      <c r="G35" s="1160"/>
      <c r="H35" s="1402"/>
      <c r="I35" s="1090" t="s">
        <v>788</v>
      </c>
      <c r="J35" s="639"/>
    </row>
    <row r="36" spans="2:10" ht="21" customHeight="1">
      <c r="B36" s="1141" t="str">
        <f>"Received from "&amp;TEXT('KEY INPUTS'!D34,"0")&amp;" Budget Appropriation *"</f>
        <v>Received from 2019 Budget Appropriation *</v>
      </c>
      <c r="C36" s="1141"/>
      <c r="D36" s="1141"/>
      <c r="E36" s="1141"/>
      <c r="F36" s="1141"/>
      <c r="G36" s="1141"/>
      <c r="H36" s="1403"/>
      <c r="I36" s="975" t="s">
        <v>788</v>
      </c>
      <c r="J36" s="609"/>
    </row>
    <row r="37" spans="2:10" ht="21" customHeight="1">
      <c r="B37" s="1141" t="str">
        <f>"Received from "&amp;TEXT('KEY INPUTS'!D34,"0")&amp;" Emergency Appropriation *"</f>
        <v>Received from 2019 Emergency Appropriation *</v>
      </c>
      <c r="C37" s="1141"/>
      <c r="D37" s="1141"/>
      <c r="E37" s="1141"/>
      <c r="F37" s="1141"/>
      <c r="G37" s="1141"/>
      <c r="H37" s="1403"/>
      <c r="I37" s="975" t="s">
        <v>788</v>
      </c>
      <c r="J37" s="609"/>
    </row>
    <row r="38" spans="2:10" ht="21" customHeight="1">
      <c r="B38" s="669"/>
      <c r="C38" s="1284"/>
      <c r="D38" s="669"/>
      <c r="E38" s="1393"/>
      <c r="F38" s="1393"/>
      <c r="G38" s="1393"/>
      <c r="H38" s="1393"/>
      <c r="I38" s="684"/>
      <c r="J38" s="376"/>
    </row>
    <row r="39" spans="2:10" ht="21" customHeight="1">
      <c r="B39" s="1141" t="s">
        <v>229</v>
      </c>
      <c r="C39" s="1141"/>
      <c r="D39" s="1141"/>
      <c r="E39" s="1141"/>
      <c r="F39" s="1141"/>
      <c r="G39" s="1141"/>
      <c r="H39" s="1403"/>
      <c r="I39" s="601"/>
      <c r="J39" s="979" t="s">
        <v>788</v>
      </c>
    </row>
    <row r="40" spans="2:10" ht="21" customHeight="1">
      <c r="B40" s="648"/>
      <c r="C40" s="648"/>
      <c r="D40" s="648"/>
      <c r="E40" s="1141"/>
      <c r="F40" s="1141"/>
      <c r="G40" s="1141"/>
      <c r="H40" s="1141"/>
      <c r="I40" s="601"/>
      <c r="J40" s="979" t="s">
        <v>788</v>
      </c>
    </row>
    <row r="41" spans="2:10" ht="21" customHeight="1" thickBot="1">
      <c r="B41" s="1141" t="str">
        <f>'KEY INPUTS'!D26</f>
        <v>Balance - December 31, 2019</v>
      </c>
      <c r="C41" s="1141"/>
      <c r="D41" s="1141"/>
      <c r="E41" s="1141"/>
      <c r="F41" s="1141"/>
      <c r="G41" s="1141"/>
      <c r="H41" s="1403"/>
      <c r="I41" s="1285">
        <f>SUM(J35:J38)-SUM(I38:I40)</f>
        <v>0</v>
      </c>
      <c r="J41" s="1106" t="s">
        <v>788</v>
      </c>
    </row>
    <row r="42" spans="2:10" ht="21" customHeight="1" thickTop="1" thickBot="1">
      <c r="B42" s="1148"/>
      <c r="C42" s="1148"/>
      <c r="D42" s="1148"/>
      <c r="E42" s="1148"/>
      <c r="F42" s="1148"/>
      <c r="G42" s="1148"/>
      <c r="H42" s="1148"/>
      <c r="I42" s="1063">
        <f>SUM(I35:I41)</f>
        <v>0</v>
      </c>
      <c r="J42" s="1423">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8OV5kxkFmUIQttFhPiClqzVQxwLgxwsNnE3Y8seuzm0LNCjpmlkxn8mTRtV5mk0Z4Rx/Lbn7Pl51vmRL8JHEpQ==" saltValue="cHo4W/3tHEVavtq5A3bcm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3">
    <tabColor theme="5" tint="0.59999389629810485"/>
  </sheetPr>
  <dimension ref="A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6"/>
      <c r="C1" s="1116"/>
      <c r="D1" s="1224"/>
      <c r="E1" s="1224"/>
      <c r="F1" s="1116"/>
      <c r="G1" s="1116"/>
      <c r="H1" s="1116"/>
      <c r="I1" s="1116"/>
      <c r="J1" s="1116"/>
    </row>
    <row r="2" spans="2:19">
      <c r="B2" s="1116"/>
      <c r="C2" s="1116"/>
      <c r="D2" s="1224"/>
      <c r="E2" s="1224"/>
      <c r="F2" s="1116"/>
      <c r="G2" s="1116"/>
      <c r="H2" s="1116"/>
      <c r="I2" s="1116"/>
      <c r="J2" s="1116"/>
    </row>
    <row r="3" spans="2:19" ht="24.6">
      <c r="B3" s="1950" t="str">
        <f>UPPER('KEY INPUTS'!D$54)&amp;" UTILITY FUND"</f>
        <v xml:space="preserve"> UTILITY FUND</v>
      </c>
      <c r="C3" s="1950"/>
      <c r="D3" s="1950"/>
      <c r="E3" s="1950"/>
      <c r="F3" s="1950"/>
      <c r="G3" s="1950"/>
      <c r="H3" s="1950"/>
      <c r="I3" s="1950"/>
      <c r="J3" s="1950"/>
    </row>
    <row r="4" spans="2:19">
      <c r="B4" s="1116"/>
      <c r="C4" s="1116"/>
      <c r="D4" s="1116"/>
      <c r="E4" s="1116"/>
      <c r="F4" s="1116"/>
      <c r="G4" s="1116"/>
      <c r="H4" s="1116"/>
      <c r="I4" s="1116"/>
      <c r="J4" s="1116"/>
    </row>
    <row r="5" spans="2:19" ht="17.399999999999999">
      <c r="B5" s="1806" t="str">
        <f>"CAPITAL  IMPROVEMENTS  AUTHORIZED  IN "&amp;TEXT('KEY INPUTS'!D34,"0")&amp;""</f>
        <v>CAPITAL  IMPROVEMENTS  AUTHORIZED  IN 2019</v>
      </c>
      <c r="C5" s="1806"/>
      <c r="D5" s="1806"/>
      <c r="E5" s="1806"/>
      <c r="F5" s="1806"/>
      <c r="G5" s="1806"/>
      <c r="H5" s="1806"/>
      <c r="I5" s="1806"/>
      <c r="J5" s="1806"/>
    </row>
    <row r="6" spans="2:19" ht="17.399999999999999">
      <c r="B6" s="1806" t="s">
        <v>261</v>
      </c>
      <c r="C6" s="1806"/>
      <c r="D6" s="1806"/>
      <c r="E6" s="1806"/>
      <c r="F6" s="1806"/>
      <c r="G6" s="1806"/>
      <c r="H6" s="1806"/>
      <c r="I6" s="1806"/>
      <c r="J6" s="1806"/>
    </row>
    <row r="7" spans="2:19" ht="13.8" thickBot="1">
      <c r="B7" s="1116"/>
      <c r="C7" s="1116"/>
      <c r="D7" s="1116"/>
      <c r="E7" s="1116"/>
      <c r="F7" s="1116"/>
      <c r="G7" s="1116"/>
      <c r="H7" s="1116"/>
      <c r="I7" s="1116"/>
      <c r="J7" s="1116"/>
    </row>
    <row r="8" spans="2:19" ht="13.8" thickTop="1">
      <c r="B8" s="1239"/>
      <c r="C8" s="1239"/>
      <c r="D8" s="1239"/>
      <c r="E8" s="1239"/>
      <c r="F8" s="1239"/>
      <c r="G8" s="1240"/>
      <c r="H8" s="1240"/>
      <c r="I8" s="1240"/>
      <c r="J8" s="1304" t="s">
        <v>307</v>
      </c>
    </row>
    <row r="9" spans="2:19">
      <c r="B9" s="1116"/>
      <c r="C9" s="1865" t="s">
        <v>532</v>
      </c>
      <c r="D9" s="1865"/>
      <c r="E9" s="1865"/>
      <c r="F9" s="1116"/>
      <c r="G9" s="1243" t="s">
        <v>533</v>
      </c>
      <c r="H9" s="1243" t="s">
        <v>260</v>
      </c>
      <c r="I9" s="1243" t="s">
        <v>265</v>
      </c>
      <c r="J9" s="1301" t="s">
        <v>308</v>
      </c>
    </row>
    <row r="10" spans="2:19">
      <c r="B10" s="1116"/>
      <c r="C10" s="1116"/>
      <c r="D10" s="1116"/>
      <c r="E10" s="1116"/>
      <c r="F10" s="1116"/>
      <c r="G10" s="1243" t="s">
        <v>263</v>
      </c>
      <c r="H10" s="1243" t="s">
        <v>264</v>
      </c>
      <c r="I10" s="1243" t="s">
        <v>266</v>
      </c>
      <c r="J10" s="1409" t="str">
        <f>"of " &amp;TEXT('KEY INPUTS'!D34,"0")&amp;" or Prior"</f>
        <v>of 2019 or Prior</v>
      </c>
    </row>
    <row r="11" spans="2:19" ht="13.8" thickBot="1">
      <c r="B11" s="1171"/>
      <c r="C11" s="1171"/>
      <c r="D11" s="1171"/>
      <c r="E11" s="1171"/>
      <c r="F11" s="1171"/>
      <c r="G11" s="1250"/>
      <c r="H11" s="1250" t="s">
        <v>560</v>
      </c>
      <c r="I11" s="1250" t="s">
        <v>306</v>
      </c>
      <c r="J11" s="1410"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1171"/>
      <c r="C22" s="1171"/>
      <c r="D22" s="1171"/>
      <c r="E22" s="1171"/>
      <c r="F22" s="1171"/>
      <c r="G22" s="1133">
        <f>SUM(G12:G21)</f>
        <v>0</v>
      </c>
      <c r="H22" s="1133">
        <f>SUM(H12:H21)</f>
        <v>0</v>
      </c>
      <c r="I22" s="1133">
        <f>SUM(I12:I21)</f>
        <v>0</v>
      </c>
      <c r="J22" s="1411">
        <f>SUM(J12:J21)</f>
        <v>0</v>
      </c>
      <c r="M22" s="322"/>
      <c r="N22" s="322"/>
      <c r="O22" s="322"/>
      <c r="P22" s="322"/>
      <c r="Q22" s="322"/>
      <c r="R22" s="322"/>
      <c r="S22" s="322"/>
    </row>
    <row r="23" spans="2:19" ht="13.8" thickTop="1">
      <c r="B23" s="1116"/>
      <c r="C23" s="1116"/>
      <c r="D23" s="1116"/>
      <c r="E23" s="1116"/>
      <c r="F23" s="1116"/>
      <c r="G23" s="1116"/>
      <c r="H23" s="1116"/>
      <c r="I23" s="1116"/>
      <c r="J23" s="1116"/>
      <c r="M23" s="322"/>
      <c r="N23" s="322"/>
      <c r="O23" s="322"/>
      <c r="P23" s="322"/>
      <c r="Q23" s="322"/>
      <c r="R23" s="322"/>
      <c r="S23" s="322"/>
    </row>
    <row r="24" spans="2:19">
      <c r="B24" s="1116"/>
      <c r="C24" s="1116"/>
      <c r="D24" s="1116"/>
      <c r="E24" s="1116"/>
      <c r="F24" s="1116"/>
      <c r="G24" s="1116"/>
      <c r="H24" s="1116"/>
      <c r="I24" s="1116"/>
      <c r="J24" s="1116"/>
      <c r="M24" s="322"/>
      <c r="N24" s="322"/>
      <c r="O24" s="322"/>
      <c r="P24" s="322"/>
      <c r="Q24" s="322"/>
      <c r="R24" s="322"/>
      <c r="S24" s="322"/>
    </row>
    <row r="25" spans="2:19">
      <c r="B25" s="1116"/>
      <c r="C25" s="1116"/>
      <c r="D25" s="1116"/>
      <c r="E25" s="1116"/>
      <c r="F25" s="1116"/>
      <c r="G25" s="1116"/>
      <c r="H25" s="1116"/>
      <c r="I25" s="1116"/>
      <c r="J25" s="1116"/>
      <c r="M25" s="322"/>
      <c r="N25" s="322"/>
      <c r="O25" s="322"/>
      <c r="P25" s="322"/>
      <c r="Q25" s="322"/>
      <c r="R25" s="322"/>
      <c r="S25" s="322"/>
    </row>
    <row r="26" spans="2:19">
      <c r="B26" s="1116"/>
      <c r="C26" s="1116"/>
      <c r="D26" s="1116"/>
      <c r="E26" s="1116"/>
      <c r="F26" s="1116"/>
      <c r="G26" s="1116"/>
      <c r="H26" s="1116"/>
      <c r="I26" s="1116"/>
      <c r="J26" s="1116"/>
      <c r="M26" s="322"/>
      <c r="N26" s="322"/>
      <c r="O26" s="322"/>
      <c r="P26" s="322"/>
      <c r="Q26" s="322"/>
      <c r="R26" s="322"/>
      <c r="S26" s="322"/>
    </row>
    <row r="27" spans="2:19">
      <c r="B27" s="1116"/>
      <c r="C27" s="1116"/>
      <c r="D27" s="1116"/>
      <c r="E27" s="1116"/>
      <c r="F27" s="1116"/>
      <c r="G27" s="1116"/>
      <c r="H27" s="1116"/>
      <c r="I27" s="1116"/>
      <c r="J27" s="1116"/>
      <c r="M27" s="322"/>
      <c r="N27" s="322"/>
      <c r="O27" s="322"/>
      <c r="P27" s="322"/>
      <c r="Q27" s="322"/>
      <c r="R27" s="322"/>
      <c r="S27" s="322"/>
    </row>
    <row r="28" spans="2:19" ht="22.8">
      <c r="B28" s="1760" t="str">
        <f>UPPER('KEY INPUTS'!D$54)&amp;" UTILITY  CAPITAL  FUND"</f>
        <v xml:space="preserve"> UTILITY  CAPITAL  FUND</v>
      </c>
      <c r="C28" s="1760"/>
      <c r="D28" s="1760"/>
      <c r="E28" s="1760"/>
      <c r="F28" s="1760"/>
      <c r="G28" s="1760"/>
      <c r="H28" s="1760"/>
      <c r="I28" s="1760"/>
      <c r="J28" s="1760"/>
    </row>
    <row r="29" spans="2:19" ht="22.8">
      <c r="B29" s="1760" t="s">
        <v>193</v>
      </c>
      <c r="C29" s="1760"/>
      <c r="D29" s="1760"/>
      <c r="E29" s="1760"/>
      <c r="F29" s="1760"/>
      <c r="G29" s="1760"/>
      <c r="H29" s="1760"/>
      <c r="I29" s="1760"/>
      <c r="J29" s="1760"/>
    </row>
    <row r="30" spans="2:19">
      <c r="B30" s="1116"/>
      <c r="C30" s="1116"/>
      <c r="D30" s="1116"/>
      <c r="E30" s="1116"/>
      <c r="F30" s="1116"/>
      <c r="G30" s="1116"/>
      <c r="H30" s="1116"/>
      <c r="I30" s="1116"/>
      <c r="J30" s="1116"/>
    </row>
    <row r="31" spans="2:19" ht="15.6">
      <c r="B31" s="1767" t="str">
        <f>"YEAR  "&amp;TEXT('KEY INPUTS'!D34,"0")&amp;""</f>
        <v>YEAR  2019</v>
      </c>
      <c r="C31" s="1767"/>
      <c r="D31" s="1767"/>
      <c r="E31" s="1767"/>
      <c r="F31" s="1767"/>
      <c r="G31" s="1767"/>
      <c r="H31" s="1767"/>
      <c r="I31" s="1767"/>
      <c r="J31" s="1767"/>
    </row>
    <row r="32" spans="2:19" ht="13.8" thickBot="1">
      <c r="B32" s="1116"/>
      <c r="C32" s="1116"/>
      <c r="D32" s="1116"/>
      <c r="E32" s="1116"/>
      <c r="F32" s="1116"/>
      <c r="G32" s="1116"/>
      <c r="H32" s="1116"/>
      <c r="I32" s="1116"/>
      <c r="J32" s="1116"/>
    </row>
    <row r="33" spans="1:10" ht="28.5" customHeight="1" thickTop="1" thickBot="1">
      <c r="B33" s="1335"/>
      <c r="C33" s="1335"/>
      <c r="D33" s="1335"/>
      <c r="E33" s="1335"/>
      <c r="F33" s="1335"/>
      <c r="G33" s="1335"/>
      <c r="H33" s="1335"/>
      <c r="I33" s="1117" t="s">
        <v>125</v>
      </c>
      <c r="J33" s="1118" t="s">
        <v>126</v>
      </c>
    </row>
    <row r="34" spans="1:10" ht="21" customHeight="1" thickTop="1">
      <c r="B34" s="1412" t="str">
        <f>'KEY INPUTS'!D25</f>
        <v>Balance - January 1, 2019</v>
      </c>
      <c r="C34" s="1172"/>
      <c r="D34" s="1172"/>
      <c r="E34" s="1172"/>
      <c r="F34" s="1172"/>
      <c r="G34" s="1172"/>
      <c r="H34" s="1172"/>
      <c r="I34" s="1173" t="s">
        <v>788</v>
      </c>
      <c r="J34" s="638"/>
    </row>
    <row r="35" spans="1:10" ht="21" customHeight="1">
      <c r="B35" s="691" t="s">
        <v>195</v>
      </c>
      <c r="C35" s="691"/>
      <c r="D35" s="691"/>
      <c r="E35" s="691"/>
      <c r="F35" s="691"/>
      <c r="G35" s="691"/>
      <c r="H35" s="691"/>
      <c r="I35" s="1176" t="s">
        <v>788</v>
      </c>
      <c r="J35" s="578"/>
    </row>
    <row r="36" spans="1:10" ht="21" customHeight="1">
      <c r="B36" s="691" t="s">
        <v>196</v>
      </c>
      <c r="C36" s="691"/>
      <c r="D36" s="691"/>
      <c r="E36" s="691"/>
      <c r="F36" s="691"/>
      <c r="G36" s="691"/>
      <c r="H36" s="691"/>
      <c r="I36" s="1176" t="s">
        <v>788</v>
      </c>
      <c r="J36" s="578"/>
    </row>
    <row r="37" spans="1:10" ht="21" customHeight="1">
      <c r="B37" s="648" t="s">
        <v>3496</v>
      </c>
      <c r="C37" s="648"/>
      <c r="D37" s="648"/>
      <c r="E37" s="648"/>
      <c r="F37" s="648"/>
      <c r="G37" s="648"/>
      <c r="H37" s="691"/>
      <c r="I37" s="374"/>
      <c r="J37" s="578"/>
    </row>
    <row r="38" spans="1:10" ht="21" customHeight="1">
      <c r="B38" s="648"/>
      <c r="C38" s="648"/>
      <c r="D38" s="648"/>
      <c r="E38" s="648"/>
      <c r="F38" s="648"/>
      <c r="G38" s="648"/>
      <c r="H38" s="691"/>
      <c r="I38" s="374"/>
      <c r="J38" s="578"/>
    </row>
    <row r="39" spans="1:10" ht="21" customHeight="1">
      <c r="B39" s="648"/>
      <c r="C39" s="648"/>
      <c r="D39" s="648"/>
      <c r="E39" s="648"/>
      <c r="F39" s="648"/>
      <c r="G39" s="648"/>
      <c r="H39" s="691"/>
      <c r="I39" s="374"/>
      <c r="J39" s="578"/>
    </row>
    <row r="40" spans="1:10" ht="21" customHeight="1">
      <c r="A40" s="1116"/>
      <c r="B40" s="691" t="s">
        <v>3455</v>
      </c>
      <c r="C40" s="691"/>
      <c r="D40" s="691"/>
      <c r="E40" s="691"/>
      <c r="F40" s="691"/>
      <c r="G40" s="691"/>
      <c r="H40" s="691"/>
      <c r="I40" s="374"/>
      <c r="J40" s="1302" t="s">
        <v>788</v>
      </c>
    </row>
    <row r="41" spans="1:10" ht="21" customHeight="1">
      <c r="A41" s="1116"/>
      <c r="B41" s="916" t="str">
        <f>"Appropriation to "&amp;'KEY INPUTS'!D34&amp;" Budget Reserve"</f>
        <v>Appropriation to 2019 Budget Reserve</v>
      </c>
      <c r="C41" s="691"/>
      <c r="D41" s="691"/>
      <c r="E41" s="691"/>
      <c r="F41" s="691"/>
      <c r="G41" s="1413"/>
      <c r="H41" s="691"/>
      <c r="I41" s="575"/>
      <c r="J41" s="1302" t="s">
        <v>788</v>
      </c>
    </row>
    <row r="42" spans="1:10" ht="21" customHeight="1">
      <c r="A42" s="1116"/>
      <c r="B42" s="691" t="str">
        <f>'KEY INPUTS'!D26</f>
        <v>Balance - December 31, 2019</v>
      </c>
      <c r="C42" s="691"/>
      <c r="D42" s="691"/>
      <c r="E42" s="691"/>
      <c r="F42" s="691"/>
      <c r="G42" s="691"/>
      <c r="H42" s="691"/>
      <c r="I42" s="844">
        <f>SUM(J34:J39)-SUM(I37:I41)</f>
        <v>0</v>
      </c>
      <c r="J42" s="1302" t="s">
        <v>788</v>
      </c>
    </row>
    <row r="43" spans="1:10" ht="21" customHeight="1" thickBot="1">
      <c r="B43" s="1116"/>
      <c r="C43" s="1116"/>
      <c r="D43" s="1116"/>
      <c r="E43" s="1116"/>
      <c r="F43" s="1116"/>
      <c r="G43" s="1116"/>
      <c r="H43" s="1116"/>
      <c r="I43" s="1111">
        <f>SUM(I34:I42)</f>
        <v>0</v>
      </c>
      <c r="J43" s="1414">
        <f>SUM(J34:J42)</f>
        <v>0</v>
      </c>
    </row>
    <row r="44" spans="1:10" ht="21" customHeight="1" thickTop="1"/>
    <row r="45" spans="1:10" ht="21" customHeight="1"/>
    <row r="46" spans="1:10" ht="21" customHeight="1"/>
    <row r="47" spans="1:10" ht="21" customHeight="1"/>
    <row r="48" spans="1:10" ht="21" customHeight="1"/>
    <row r="49" spans="2:10" ht="21" customHeight="1"/>
    <row r="52" spans="2:10" ht="13.8">
      <c r="B52" s="1766" t="s">
        <v>3454</v>
      </c>
      <c r="C52" s="1766"/>
      <c r="D52" s="1766"/>
      <c r="E52" s="1766"/>
      <c r="F52" s="1766"/>
      <c r="G52" s="1766"/>
      <c r="H52" s="1766"/>
      <c r="I52" s="1766"/>
      <c r="J52" s="176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4">
    <tabColor theme="2" tint="-0.249977111117893"/>
  </sheetPr>
  <dimension ref="B1:R57"/>
  <sheetViews>
    <sheetView zoomScaleNormal="100" zoomScaleSheetLayoutView="80" workbookViewId="0"/>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6"/>
      <c r="C1" s="1116"/>
      <c r="D1" s="1116"/>
      <c r="E1" s="1116"/>
      <c r="F1" s="1116"/>
      <c r="G1" s="1116"/>
      <c r="H1" s="1116"/>
    </row>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INPUTS'!D55)&amp;"  UTILITY  FUND"</f>
        <v>TRIAL  BALANCE -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+'47-Utility4'!L24</f>
        <v>0</v>
      </c>
      <c r="H20" s="1125"/>
      <c r="L20" s="322"/>
      <c r="M20" s="322"/>
      <c r="N20" s="322"/>
      <c r="O20" s="322"/>
      <c r="P20" s="322"/>
      <c r="Q20" s="322"/>
      <c r="R20" s="322"/>
    </row>
    <row r="21" spans="2:18" ht="21" customHeight="1">
      <c r="B21" s="691" t="s">
        <v>3488</v>
      </c>
      <c r="C21" s="691"/>
      <c r="D21" s="691"/>
      <c r="E21" s="691"/>
      <c r="F21" s="691"/>
      <c r="G21" s="690">
        <f>+'47-Utility4'!L54</f>
        <v>0</v>
      </c>
      <c r="H21" s="1116"/>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90">
        <f>+'48-Utility4'!N23</f>
        <v>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+'44-Utility4'!I37</f>
        <v>0</v>
      </c>
      <c r="J31" s="740"/>
    </row>
    <row r="32" spans="2:18" ht="21" customHeight="1">
      <c r="B32" s="691" t="s">
        <v>3411</v>
      </c>
      <c r="C32" s="691"/>
      <c r="D32" s="691"/>
      <c r="E32" s="691"/>
      <c r="F32" s="691"/>
      <c r="G32" s="601"/>
      <c r="H32" s="609"/>
    </row>
    <row r="33" spans="2:18" ht="21" customHeight="1">
      <c r="B33" s="691" t="s">
        <v>3410</v>
      </c>
      <c r="C33" s="691"/>
      <c r="D33" s="691"/>
      <c r="E33" s="691"/>
      <c r="F33" s="691"/>
      <c r="G33" s="601"/>
      <c r="H33" s="1128">
        <f>+'49-Utility4'!I29+'49a-Utility4'!I29+'50-Utility4'!M24+'49a.1-Utility4'!I29</f>
        <v>0</v>
      </c>
      <c r="J33" s="740"/>
    </row>
    <row r="34" spans="2:18" ht="21" customHeight="1">
      <c r="B34" s="648" t="s">
        <v>3498</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40"/>
      <c r="L36" s="322"/>
      <c r="M36" s="322"/>
      <c r="N36" s="322"/>
      <c r="O36" s="322"/>
      <c r="P36" s="322"/>
      <c r="Q36" s="322"/>
      <c r="R36" s="322"/>
    </row>
    <row r="37" spans="2:18" ht="21" customHeight="1">
      <c r="B37" s="648"/>
      <c r="C37" s="648"/>
      <c r="D37" s="648"/>
      <c r="E37" s="648"/>
      <c r="F37" s="648"/>
      <c r="G37" s="601"/>
      <c r="H37" s="609"/>
      <c r="J37" s="740"/>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1"/>
      <c r="C39" s="691" t="s">
        <v>3409</v>
      </c>
      <c r="D39" s="691"/>
      <c r="E39" s="691"/>
      <c r="F39" s="1286"/>
      <c r="G39" s="1287"/>
      <c r="H39" s="1129">
        <f>SUM(H30:H38)</f>
        <v>0</v>
      </c>
      <c r="I39" s="398" t="s">
        <v>998</v>
      </c>
    </row>
    <row r="40" spans="2:18" ht="21" customHeight="1">
      <c r="B40" s="1130" t="s">
        <v>3499</v>
      </c>
      <c r="C40" s="1130"/>
      <c r="D40" s="1130"/>
      <c r="E40" s="1130"/>
      <c r="F40" s="1130"/>
      <c r="G40" s="1125"/>
      <c r="H40" s="631"/>
    </row>
    <row r="41" spans="2:18" ht="21" customHeight="1">
      <c r="B41" s="691"/>
      <c r="C41" s="691"/>
      <c r="D41" s="691"/>
      <c r="E41" s="691"/>
      <c r="F41" s="691"/>
      <c r="G41" s="690"/>
      <c r="H41" s="1126"/>
    </row>
    <row r="42" spans="2:18" ht="21" customHeight="1">
      <c r="B42" s="691" t="s">
        <v>778</v>
      </c>
      <c r="C42" s="691"/>
      <c r="D42" s="691"/>
      <c r="E42" s="691"/>
      <c r="F42" s="691"/>
      <c r="G42" s="690"/>
      <c r="H42" s="1126">
        <f>+'46-Utility4'!K27</f>
        <v>0</v>
      </c>
    </row>
    <row r="43" spans="2:18" ht="21" customHeight="1" thickBot="1">
      <c r="B43" s="691"/>
      <c r="C43" s="691"/>
      <c r="D43" s="691"/>
      <c r="E43" s="691"/>
      <c r="F43" s="691"/>
      <c r="G43" s="1131"/>
      <c r="H43" s="1132"/>
    </row>
    <row r="44" spans="2:18" ht="21" customHeight="1" thickBot="1">
      <c r="B44" s="691" t="s">
        <v>3500</v>
      </c>
      <c r="C44" s="691"/>
      <c r="D44" s="691"/>
      <c r="E44" s="691"/>
      <c r="F44" s="691"/>
      <c r="G44" s="1133">
        <f>SUM(G12:G43)</f>
        <v>0</v>
      </c>
      <c r="H44" s="1134">
        <f>SUM(H39:H43)</f>
        <v>0</v>
      </c>
      <c r="J44" s="399">
        <f>G44-H44</f>
        <v>0</v>
      </c>
    </row>
    <row r="45" spans="2:18" ht="13.8" thickTop="1">
      <c r="B45" s="1865" t="s">
        <v>127</v>
      </c>
      <c r="C45" s="1865"/>
      <c r="D45" s="1865"/>
      <c r="E45" s="1865"/>
      <c r="F45" s="1865"/>
      <c r="G45" s="1865"/>
      <c r="H45" s="1865"/>
    </row>
    <row r="46" spans="2:18">
      <c r="B46" s="1301"/>
      <c r="C46" s="1301"/>
      <c r="D46" s="1301"/>
      <c r="E46" s="1301"/>
      <c r="F46" s="1301"/>
      <c r="G46" s="1301"/>
      <c r="H46" s="1301"/>
    </row>
    <row r="47" spans="2:18">
      <c r="B47" s="1301"/>
      <c r="C47" s="1301"/>
      <c r="D47" s="1301"/>
      <c r="E47" s="1301"/>
      <c r="F47" s="1301"/>
      <c r="G47" s="1301"/>
      <c r="H47" s="1301"/>
    </row>
    <row r="48" spans="2:18">
      <c r="B48" s="1301"/>
      <c r="C48" s="1301"/>
      <c r="D48" s="1301"/>
      <c r="E48" s="1301"/>
      <c r="F48" s="1301"/>
      <c r="G48" s="1301"/>
      <c r="H48" s="1301"/>
    </row>
    <row r="49" spans="2:8">
      <c r="B49" s="1301"/>
      <c r="C49" s="1301"/>
      <c r="D49" s="1301"/>
      <c r="E49" s="1301"/>
      <c r="F49" s="1301"/>
      <c r="G49" s="1301"/>
      <c r="H49" s="1301"/>
    </row>
    <row r="50" spans="2:8" ht="13.8">
      <c r="B50" s="1951" t="s">
        <v>3407</v>
      </c>
      <c r="C50" s="1951"/>
      <c r="D50" s="1951"/>
      <c r="E50" s="1951"/>
      <c r="F50" s="1951"/>
      <c r="G50" s="1951"/>
      <c r="H50" s="1951"/>
    </row>
    <row r="54" spans="2:8">
      <c r="H54" s="399"/>
    </row>
    <row r="57" spans="2:8">
      <c r="H57" s="399">
        <f>+H44-G44</f>
        <v>0</v>
      </c>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5">
    <tabColor theme="2" tint="-0.249977111117893"/>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INPUTS'!D55)&amp;"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1116"/>
      <c r="C12" s="1116"/>
      <c r="D12" s="1116"/>
      <c r="E12" s="1116"/>
      <c r="F12" s="1116"/>
      <c r="G12" s="1119"/>
      <c r="H12" s="1120"/>
    </row>
    <row r="13" spans="2:17" ht="21" customHeight="1">
      <c r="B13" s="1127" t="s">
        <v>809</v>
      </c>
      <c r="C13" s="691"/>
      <c r="D13" s="691"/>
      <c r="E13" s="691"/>
      <c r="F13" s="691"/>
      <c r="G13" s="690"/>
      <c r="H13" s="1126"/>
      <c r="K13" s="322"/>
      <c r="L13" s="322"/>
      <c r="M13" s="322"/>
      <c r="N13" s="322"/>
      <c r="O13" s="322"/>
      <c r="P13" s="322"/>
      <c r="Q13" s="322"/>
    </row>
    <row r="14" spans="2:17" ht="21" customHeight="1">
      <c r="B14" s="691"/>
      <c r="C14" s="691"/>
      <c r="D14" s="691"/>
      <c r="E14" s="691"/>
      <c r="F14" s="691"/>
      <c r="G14" s="690"/>
      <c r="H14" s="1126"/>
      <c r="K14" s="322"/>
      <c r="L14" s="322"/>
      <c r="M14" s="322"/>
      <c r="N14" s="322"/>
      <c r="O14" s="322"/>
      <c r="P14" s="322"/>
      <c r="Q14" s="322"/>
    </row>
    <row r="15" spans="2:17" ht="21" customHeight="1">
      <c r="B15" s="1116" t="s">
        <v>251</v>
      </c>
      <c r="C15" s="691"/>
      <c r="D15" s="691"/>
      <c r="E15" s="691"/>
      <c r="F15" s="691"/>
      <c r="G15" s="372"/>
      <c r="H15" s="1302" t="s">
        <v>788</v>
      </c>
      <c r="K15" s="377"/>
      <c r="L15" s="322"/>
      <c r="M15" s="322"/>
      <c r="N15" s="322"/>
      <c r="O15" s="322"/>
      <c r="P15" s="322"/>
      <c r="Q15" s="322"/>
    </row>
    <row r="16" spans="2:17" ht="21" customHeight="1">
      <c r="B16" s="691" t="s">
        <v>252</v>
      </c>
      <c r="C16" s="691"/>
      <c r="D16" s="691"/>
      <c r="E16" s="691"/>
      <c r="F16" s="691"/>
      <c r="G16" s="1176" t="s">
        <v>788</v>
      </c>
      <c r="H16" s="915">
        <f>+G15</f>
        <v>0</v>
      </c>
      <c r="K16" s="322"/>
      <c r="L16" s="322"/>
      <c r="M16" s="322"/>
      <c r="N16" s="322"/>
      <c r="O16" s="322"/>
      <c r="P16" s="322"/>
      <c r="Q16" s="322"/>
    </row>
    <row r="17" spans="2:17" ht="21" customHeight="1">
      <c r="B17" s="691"/>
      <c r="C17" s="691"/>
      <c r="D17" s="691"/>
      <c r="E17" s="691"/>
      <c r="F17" s="691"/>
      <c r="G17" s="908"/>
      <c r="H17" s="915"/>
      <c r="K17" s="322"/>
      <c r="L17" s="322"/>
      <c r="M17" s="322"/>
      <c r="N17" s="322"/>
      <c r="O17" s="322"/>
      <c r="P17" s="322"/>
      <c r="Q17" s="322"/>
    </row>
    <row r="18" spans="2:17" ht="21" customHeight="1">
      <c r="B18" s="691"/>
      <c r="C18" s="691" t="s">
        <v>459</v>
      </c>
      <c r="D18" s="691"/>
      <c r="E18" s="691"/>
      <c r="F18" s="691"/>
      <c r="G18" s="372"/>
      <c r="H18" s="568"/>
      <c r="K18" s="322"/>
      <c r="L18" s="322"/>
      <c r="M18" s="322"/>
      <c r="N18" s="322"/>
      <c r="O18" s="322"/>
      <c r="P18" s="322"/>
      <c r="Q18" s="322"/>
    </row>
    <row r="19" spans="2:17" ht="21" customHeight="1">
      <c r="B19" s="691"/>
      <c r="C19" s="648"/>
      <c r="D19" s="648"/>
      <c r="E19" s="648"/>
      <c r="F19" s="648"/>
      <c r="G19" s="372"/>
      <c r="H19" s="568"/>
      <c r="K19" s="322"/>
      <c r="L19" s="322"/>
      <c r="M19" s="322"/>
      <c r="N19" s="322"/>
      <c r="O19" s="322"/>
      <c r="P19" s="322"/>
      <c r="Q19" s="322"/>
    </row>
    <row r="20" spans="2:17" ht="21" customHeight="1">
      <c r="B20" s="691"/>
      <c r="C20" s="691" t="s">
        <v>1154</v>
      </c>
      <c r="D20" s="691"/>
      <c r="E20" s="691"/>
      <c r="F20" s="691"/>
      <c r="G20" s="372"/>
      <c r="H20" s="568"/>
      <c r="K20" s="322"/>
      <c r="L20" s="322"/>
      <c r="M20" s="322"/>
      <c r="N20" s="322"/>
      <c r="O20" s="322"/>
      <c r="P20" s="322"/>
      <c r="Q20" s="322"/>
    </row>
    <row r="21" spans="2:17" ht="21" customHeight="1">
      <c r="B21" s="691"/>
      <c r="C21" s="691" t="s">
        <v>810</v>
      </c>
      <c r="D21" s="691"/>
      <c r="E21" s="691"/>
      <c r="F21" s="691"/>
      <c r="G21" s="908"/>
      <c r="H21" s="909"/>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838</v>
      </c>
      <c r="E23" s="691"/>
      <c r="F23" s="691"/>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1"/>
      <c r="C43" s="691"/>
      <c r="D43" s="691"/>
      <c r="E43" s="691"/>
      <c r="F43" s="691"/>
      <c r="G43" s="1296"/>
      <c r="H43" s="1297"/>
      <c r="I43" s="399"/>
      <c r="M43" s="399"/>
    </row>
    <row r="44" spans="2:17" ht="21" customHeight="1" thickBot="1">
      <c r="B44" s="691"/>
      <c r="C44" s="691" t="s">
        <v>3546</v>
      </c>
      <c r="D44" s="691"/>
      <c r="E44" s="691"/>
      <c r="F44" s="691"/>
      <c r="G44" s="1298">
        <f>SUM(G15:G42)</f>
        <v>0</v>
      </c>
      <c r="H44" s="1299">
        <f>SUM(H15:H43)</f>
        <v>0</v>
      </c>
      <c r="I44" s="399"/>
      <c r="K44" s="399"/>
    </row>
    <row r="45" spans="2:17" ht="13.8" thickTop="1">
      <c r="B45" s="1779" t="s">
        <v>127</v>
      </c>
      <c r="C45" s="1779"/>
      <c r="D45" s="1779"/>
      <c r="E45" s="1779"/>
      <c r="F45" s="1779"/>
      <c r="G45" s="1780"/>
      <c r="H45" s="1780"/>
    </row>
    <row r="46" spans="2:17">
      <c r="B46" s="920"/>
      <c r="C46" s="920"/>
      <c r="D46" s="920"/>
      <c r="E46" s="920"/>
      <c r="F46" s="920"/>
      <c r="G46" s="920"/>
      <c r="H46" s="920"/>
    </row>
    <row r="47" spans="2:17">
      <c r="B47" s="920"/>
      <c r="C47" s="920"/>
      <c r="D47" s="920"/>
      <c r="E47" s="920"/>
      <c r="F47" s="920"/>
      <c r="G47" s="920"/>
      <c r="H47" s="920"/>
    </row>
    <row r="48" spans="2:17">
      <c r="B48" s="920"/>
      <c r="C48" s="920"/>
      <c r="D48" s="920"/>
      <c r="E48" s="920"/>
      <c r="F48" s="920"/>
      <c r="G48" s="920"/>
      <c r="H48" s="920"/>
    </row>
    <row r="49" spans="2:8">
      <c r="B49" s="920"/>
      <c r="C49" s="920"/>
      <c r="D49" s="920"/>
      <c r="E49" s="920"/>
      <c r="F49" s="920"/>
      <c r="G49" s="920"/>
      <c r="H49" s="920"/>
    </row>
    <row r="50" spans="2:8" ht="13.8">
      <c r="B50" s="1766" t="s">
        <v>3413</v>
      </c>
      <c r="C50" s="1766"/>
      <c r="D50" s="1766"/>
      <c r="E50" s="1766"/>
      <c r="F50" s="1766"/>
      <c r="G50" s="1766"/>
      <c r="H50" s="1766"/>
    </row>
    <row r="55" spans="2:8">
      <c r="H55" s="399"/>
    </row>
  </sheetData>
  <sheetProtection algorithmName="SHA-512" hashValue="+NnAy6vlJ0yrzef00lt6RF91R/s3sGlbda7UDQc7MU4sYGVsk/VnKTZ/oTCCORyTGywlp6Hg5cJBaP21K/BACA==" saltValue="FQsDlwWG7J8SD3hPKqnB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6">
    <tabColor theme="2" tint="-0.249977111117893"/>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INPUTS'!D55)&amp;"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691"/>
      <c r="C12" s="691" t="s">
        <v>3547</v>
      </c>
      <c r="D12" s="691"/>
      <c r="E12" s="691"/>
      <c r="F12" s="691"/>
      <c r="G12" s="908">
        <f>'41a-Utility4'!G44</f>
        <v>0</v>
      </c>
      <c r="H12" s="915">
        <f>'41a-Utility4'!H44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+'49-Utility4'!G22</f>
        <v>0</v>
      </c>
      <c r="K17" s="322"/>
      <c r="L17" s="322"/>
      <c r="M17" s="322"/>
      <c r="N17" s="322"/>
      <c r="O17" s="322"/>
      <c r="P17" s="322"/>
      <c r="Q17" s="322"/>
    </row>
    <row r="18" spans="2:17" ht="21" customHeight="1">
      <c r="B18" s="691"/>
      <c r="C18" s="691" t="s">
        <v>3680</v>
      </c>
      <c r="D18" s="691"/>
      <c r="E18" s="691"/>
      <c r="F18" s="691"/>
      <c r="G18" s="908"/>
      <c r="H18" s="915">
        <f>'49a-Utility4'!G11-'49a-Utility4'!G22+'49a.1-Utility4'!G11-'49a.1-Utility4'!G22</f>
        <v>0</v>
      </c>
    </row>
    <row r="19" spans="2:17" ht="21" customHeight="1">
      <c r="B19" s="691"/>
      <c r="C19" s="691" t="s">
        <v>3690</v>
      </c>
      <c r="D19" s="691"/>
      <c r="E19" s="691"/>
      <c r="F19" s="691"/>
      <c r="G19" s="908"/>
      <c r="H19" s="915">
        <f>+'51a-Utility4'!G23</f>
        <v>0</v>
      </c>
      <c r="K19" s="322"/>
      <c r="L19" s="322"/>
      <c r="M19" s="322"/>
      <c r="N19" s="322"/>
      <c r="O19" s="322"/>
      <c r="P19" s="322"/>
      <c r="Q19" s="322"/>
    </row>
    <row r="20" spans="2:17" ht="21" customHeight="1">
      <c r="B20" s="691"/>
      <c r="C20" s="916" t="s">
        <v>3415</v>
      </c>
      <c r="D20" s="691"/>
      <c r="E20" s="691"/>
      <c r="F20" s="691"/>
      <c r="G20" s="908"/>
      <c r="H20" s="915">
        <f>+'50-Utility4'!G18</f>
        <v>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+'52-Utility4'!K27</f>
        <v>0</v>
      </c>
      <c r="J22" s="399"/>
      <c r="K22" s="322"/>
      <c r="L22" s="322"/>
      <c r="M22" s="322"/>
      <c r="N22" s="322"/>
      <c r="O22" s="322"/>
      <c r="P22" s="322"/>
      <c r="Q22" s="322"/>
    </row>
    <row r="23" spans="2:17" ht="21" customHeight="1">
      <c r="B23" s="691"/>
      <c r="C23" s="691"/>
      <c r="D23" s="691" t="s">
        <v>1003</v>
      </c>
      <c r="E23" s="691"/>
      <c r="F23" s="691"/>
      <c r="G23" s="908"/>
      <c r="H23" s="915">
        <f>+'52-Utility4'!L27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1"/>
      <c r="C40" s="691" t="s">
        <v>3483</v>
      </c>
      <c r="D40" s="691"/>
      <c r="E40" s="691"/>
      <c r="F40" s="691"/>
      <c r="G40" s="908"/>
      <c r="H40" s="915">
        <f>+'53-Utility4'!I41</f>
        <v>0</v>
      </c>
    </row>
    <row r="41" spans="2:13" ht="21" customHeight="1">
      <c r="B41" s="691"/>
      <c r="C41" s="691" t="s">
        <v>1006</v>
      </c>
      <c r="D41" s="691"/>
      <c r="E41" s="691"/>
      <c r="F41" s="691"/>
      <c r="G41" s="908"/>
      <c r="H41" s="915">
        <f>+'53-Utility4'!I24</f>
        <v>0</v>
      </c>
    </row>
    <row r="42" spans="2:13" ht="21" customHeight="1">
      <c r="B42" s="691"/>
      <c r="C42" s="691" t="s">
        <v>808</v>
      </c>
      <c r="D42" s="691"/>
      <c r="E42" s="691"/>
      <c r="F42" s="691"/>
      <c r="G42" s="908"/>
      <c r="H42" s="915">
        <f>+'54-Utility4'!I42</f>
        <v>0</v>
      </c>
    </row>
    <row r="43" spans="2:13" ht="21" customHeight="1" thickBot="1">
      <c r="B43" s="691"/>
      <c r="C43" s="691"/>
      <c r="D43" s="691"/>
      <c r="E43" s="691"/>
      <c r="F43" s="691"/>
      <c r="G43" s="1296"/>
      <c r="H43" s="1297"/>
      <c r="I43" s="399"/>
      <c r="M43" s="399"/>
    </row>
    <row r="44" spans="2:13" ht="21" customHeight="1" thickBot="1">
      <c r="B44" s="691"/>
      <c r="C44" s="691" t="s">
        <v>1001</v>
      </c>
      <c r="D44" s="691"/>
      <c r="E44" s="691"/>
      <c r="F44" s="691"/>
      <c r="G44" s="1298">
        <f>SUM(G12:G42)</f>
        <v>0</v>
      </c>
      <c r="H44" s="1299">
        <f>SUM(H12:H43)</f>
        <v>0</v>
      </c>
      <c r="I44" s="399"/>
      <c r="K44" s="399"/>
    </row>
    <row r="45" spans="2:13" ht="13.8" thickTop="1">
      <c r="B45" s="1918" t="s">
        <v>127</v>
      </c>
      <c r="C45" s="1918"/>
      <c r="D45" s="1918"/>
      <c r="E45" s="1918"/>
      <c r="F45" s="1918"/>
      <c r="G45" s="1919"/>
      <c r="H45" s="1919"/>
    </row>
    <row r="46" spans="2:13">
      <c r="B46" s="1301"/>
      <c r="C46" s="1301"/>
      <c r="D46" s="1301"/>
      <c r="E46" s="1301"/>
      <c r="F46" s="1301"/>
      <c r="G46" s="1301"/>
      <c r="H46" s="1301"/>
    </row>
    <row r="47" spans="2:13">
      <c r="B47" s="1301"/>
      <c r="C47" s="1301"/>
      <c r="D47" s="1301"/>
      <c r="E47" s="1301"/>
      <c r="F47" s="1301"/>
      <c r="G47" s="1301"/>
      <c r="H47" s="1301"/>
    </row>
    <row r="48" spans="2:13">
      <c r="B48" s="1301"/>
      <c r="C48" s="1301"/>
      <c r="D48" s="1301"/>
      <c r="E48" s="1301"/>
      <c r="F48" s="1301"/>
      <c r="G48" s="1301"/>
      <c r="H48" s="1301"/>
    </row>
    <row r="49" spans="2:8">
      <c r="B49" s="1301"/>
      <c r="C49" s="1301"/>
      <c r="D49" s="1301"/>
      <c r="E49" s="1301"/>
      <c r="F49" s="1301"/>
      <c r="G49" s="1301"/>
      <c r="H49" s="1301"/>
    </row>
    <row r="50" spans="2:8" ht="13.8">
      <c r="B50" s="1951" t="s">
        <v>3692</v>
      </c>
      <c r="C50" s="1951"/>
      <c r="D50" s="1951"/>
      <c r="E50" s="1951"/>
      <c r="F50" s="1951"/>
      <c r="G50" s="1951"/>
      <c r="H50" s="1951"/>
    </row>
    <row r="55" spans="2:8">
      <c r="H55" s="399"/>
    </row>
  </sheetData>
  <sheetProtection algorithmName="SHA-512" hashValue="3lgbLrVJp9iXwbT2Lcl/871pZEtbQ6PWcDStxENG4UV130po0MYfw7J8RwS1BXqE6hBwAEwryGb8QKKZrJrdig==" saltValue="8Tr3Ic92Jhajc8Mh23d1+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7">
    <tabColor theme="2" tint="-0.249977111117893"/>
  </sheetPr>
  <dimension ref="B1: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8"/>
      <c r="C1" s="1148"/>
      <c r="D1" s="1148"/>
      <c r="E1" s="1148"/>
      <c r="F1" s="1148"/>
      <c r="G1" s="1148"/>
      <c r="H1" s="1148"/>
    </row>
    <row r="2" spans="2:18">
      <c r="B2" s="1148"/>
      <c r="C2" s="1148"/>
      <c r="D2" s="1148"/>
      <c r="E2" s="1148"/>
      <c r="F2" s="1148"/>
      <c r="G2" s="1148"/>
      <c r="H2" s="1148"/>
    </row>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601"/>
      <c r="H38" s="1128">
        <f>+'51-Utility1'!G23</f>
        <v>0</v>
      </c>
    </row>
    <row r="39" spans="2:8" ht="21" customHeight="1">
      <c r="B39" s="1139" t="s">
        <v>3485</v>
      </c>
      <c r="C39" s="1139"/>
      <c r="D39" s="1139"/>
      <c r="E39" s="1139"/>
      <c r="F39" s="1139"/>
      <c r="G39" s="601"/>
      <c r="H39" s="1128">
        <f>+'49-Utility1'!G11</f>
        <v>0</v>
      </c>
    </row>
    <row r="40" spans="2:8" ht="21" customHeight="1">
      <c r="B40" s="1139" t="s">
        <v>1000</v>
      </c>
      <c r="C40" s="1139"/>
      <c r="D40" s="1139"/>
      <c r="E40" s="1139"/>
      <c r="F40" s="1139"/>
      <c r="G40" s="601"/>
      <c r="H40" s="1128">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c r="C43" s="1141"/>
      <c r="D43" s="1141"/>
      <c r="E43" s="1141"/>
      <c r="F43" s="1141"/>
      <c r="G43" s="1107">
        <f>SUM(G11:G42)</f>
        <v>0</v>
      </c>
      <c r="H43" s="1142">
        <f>SUM(H11:H42)</f>
        <v>0</v>
      </c>
    </row>
    <row r="44" spans="2:8">
      <c r="B44" s="1788" t="s">
        <v>127</v>
      </c>
      <c r="C44" s="1788"/>
      <c r="D44" s="1788"/>
      <c r="E44" s="1788"/>
      <c r="F44" s="1788"/>
      <c r="G44" s="1788"/>
      <c r="H44" s="1788"/>
    </row>
    <row r="45" spans="2:8">
      <c r="B45" s="1143"/>
      <c r="C45" s="1143"/>
      <c r="D45" s="1143"/>
      <c r="E45" s="1143"/>
      <c r="F45" s="1143"/>
      <c r="G45" s="1143"/>
      <c r="H45" s="1143"/>
    </row>
    <row r="46" spans="2:8">
      <c r="B46" s="1143"/>
      <c r="C46" s="1143"/>
      <c r="D46" s="1143"/>
      <c r="E46" s="1143"/>
      <c r="F46" s="1143"/>
      <c r="G46" s="1143"/>
      <c r="H46" s="1143"/>
    </row>
    <row r="47" spans="2:8">
      <c r="B47" s="1143"/>
      <c r="C47" s="1143"/>
      <c r="D47" s="1143"/>
      <c r="E47" s="1143"/>
      <c r="F47" s="1143"/>
      <c r="G47" s="1143"/>
      <c r="H47" s="1143"/>
    </row>
    <row r="48" spans="2:8">
      <c r="B48" s="1143"/>
      <c r="C48" s="1143"/>
      <c r="D48" s="1143"/>
      <c r="E48" s="1143"/>
      <c r="F48" s="1143"/>
      <c r="G48" s="1143"/>
      <c r="H48" s="1143"/>
    </row>
    <row r="49" spans="2:8" ht="13.8">
      <c r="B49" s="1781" t="s">
        <v>3417</v>
      </c>
      <c r="C49" s="1781"/>
      <c r="D49" s="1781"/>
      <c r="E49" s="1781"/>
      <c r="F49" s="1781"/>
      <c r="G49" s="1781"/>
      <c r="H49" s="178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8">
    <tabColor theme="2" tint="-0.249977111117893"/>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INPUTS'!D55)&amp;" UTILITY  ASSESSMENT  TRUST  CASH  AND  INVESTMENTS"</f>
        <v>ANALYSIS  OF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2:O52"/>
  <sheetViews>
    <sheetView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3642</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1"/>
      <c r="C5" s="1571"/>
      <c r="D5" s="1571"/>
      <c r="G5" s="734" t="s">
        <v>533</v>
      </c>
      <c r="I5" s="736"/>
      <c r="K5" s="736"/>
    </row>
    <row r="6" spans="2:15">
      <c r="B6" s="1571"/>
      <c r="C6" s="1571"/>
      <c r="D6" s="1571"/>
      <c r="G6" s="297" t="str">
        <f>'KEY INPUTS'!D45</f>
        <v>Dec. 31, 2018</v>
      </c>
      <c r="I6" s="734"/>
      <c r="K6" s="734"/>
      <c r="M6" s="734" t="s">
        <v>672</v>
      </c>
    </row>
    <row r="7" spans="2:15">
      <c r="G7" s="734" t="s">
        <v>552</v>
      </c>
      <c r="I7" s="734"/>
      <c r="K7" s="734"/>
      <c r="M7" s="734" t="s">
        <v>556</v>
      </c>
    </row>
    <row r="8" spans="2:15">
      <c r="B8" s="1571" t="s">
        <v>532</v>
      </c>
      <c r="C8" s="1571"/>
      <c r="D8" s="1571"/>
      <c r="G8" s="736" t="s">
        <v>551</v>
      </c>
      <c r="I8" s="736" t="s">
        <v>546</v>
      </c>
      <c r="K8" s="736" t="s">
        <v>678</v>
      </c>
      <c r="M8" s="294" t="str">
        <f>'KEY INPUTS'!D46</f>
        <v>Dec. 31, 2019</v>
      </c>
    </row>
    <row r="9" spans="2:15">
      <c r="B9" s="736"/>
      <c r="C9" s="736"/>
      <c r="D9" s="736"/>
      <c r="G9" s="250"/>
      <c r="I9" s="736"/>
      <c r="K9" s="736"/>
      <c r="M9" s="133"/>
    </row>
    <row r="10" spans="2:15" ht="21" customHeight="1">
      <c r="B10" s="858" t="s">
        <v>3540</v>
      </c>
      <c r="C10" s="859"/>
      <c r="D10" s="859"/>
      <c r="E10" s="859"/>
      <c r="F10" s="841"/>
      <c r="G10" s="860">
        <f>+'6b.1-Trust Fund Reserves'!G48</f>
        <v>4869244.87</v>
      </c>
      <c r="H10" s="841"/>
      <c r="I10" s="860">
        <f>+'6b.1-Trust Fund Reserves'!I48</f>
        <v>4146662.7600000002</v>
      </c>
      <c r="J10" s="841"/>
      <c r="K10" s="860">
        <f>+'6b.1-Trust Fund Reserves'!K48</f>
        <v>3351624.0200000005</v>
      </c>
      <c r="L10" s="841"/>
      <c r="M10" s="857">
        <f>+'6b.1-Trust Fund Reserves'!M48</f>
        <v>5664283.6099999994</v>
      </c>
      <c r="N10" s="325"/>
      <c r="O10" s="325"/>
    </row>
    <row r="11" spans="2:15" ht="21" customHeight="1">
      <c r="B11" s="375"/>
      <c r="C11" s="375"/>
      <c r="D11" s="375"/>
      <c r="E11" s="375"/>
      <c r="F11" s="397"/>
      <c r="G11" s="376"/>
      <c r="H11" s="397"/>
      <c r="I11" s="376"/>
      <c r="J11" s="397"/>
      <c r="K11" s="376"/>
      <c r="L11" s="379"/>
      <c r="M11" s="857">
        <f t="shared" ref="M11:M47" si="0">+G11+I11-K11</f>
        <v>0</v>
      </c>
      <c r="N11" s="325"/>
    </row>
    <row r="12" spans="2:15" ht="21" customHeight="1">
      <c r="B12" s="375"/>
      <c r="C12" s="375"/>
      <c r="D12" s="375"/>
      <c r="E12" s="375"/>
      <c r="F12" s="397"/>
      <c r="G12" s="376"/>
      <c r="H12" s="397"/>
      <c r="I12" s="376"/>
      <c r="J12" s="397"/>
      <c r="K12" s="376"/>
      <c r="L12" s="379"/>
      <c r="M12" s="857">
        <f t="shared" si="0"/>
        <v>0</v>
      </c>
      <c r="N12" s="325"/>
    </row>
    <row r="13" spans="2:15" ht="21" customHeight="1">
      <c r="B13" s="375"/>
      <c r="C13" s="375"/>
      <c r="D13" s="375"/>
      <c r="E13" s="375"/>
      <c r="F13" s="397"/>
      <c r="G13" s="376"/>
      <c r="H13" s="397"/>
      <c r="I13" s="666"/>
      <c r="J13" s="397"/>
      <c r="K13" s="376"/>
      <c r="L13" s="379"/>
      <c r="M13" s="857">
        <f t="shared" si="0"/>
        <v>0</v>
      </c>
      <c r="N13" s="325"/>
      <c r="O13" s="377"/>
    </row>
    <row r="14" spans="2:15" ht="21" customHeight="1">
      <c r="B14" s="667"/>
      <c r="C14" s="375"/>
      <c r="D14" s="375"/>
      <c r="E14" s="375"/>
      <c r="F14" s="397"/>
      <c r="G14" s="376"/>
      <c r="H14" s="397"/>
      <c r="I14" s="376"/>
      <c r="J14" s="397"/>
      <c r="K14" s="376"/>
      <c r="L14" s="379"/>
      <c r="M14" s="857">
        <f t="shared" si="0"/>
        <v>0</v>
      </c>
      <c r="N14" s="325"/>
    </row>
    <row r="15" spans="2:15" ht="21" customHeight="1">
      <c r="B15" s="375"/>
      <c r="C15" s="375"/>
      <c r="D15" s="375"/>
      <c r="E15" s="375"/>
      <c r="F15" s="397"/>
      <c r="G15" s="376"/>
      <c r="H15" s="397"/>
      <c r="I15" s="376"/>
      <c r="J15" s="397"/>
      <c r="K15" s="376"/>
      <c r="L15" s="379"/>
      <c r="M15" s="857">
        <f t="shared" si="0"/>
        <v>0</v>
      </c>
      <c r="N15" s="325"/>
    </row>
    <row r="16" spans="2:15" ht="21" customHeight="1">
      <c r="B16" s="375"/>
      <c r="C16" s="375"/>
      <c r="D16" s="375"/>
      <c r="E16" s="375"/>
      <c r="F16" s="397"/>
      <c r="G16" s="376"/>
      <c r="H16" s="397"/>
      <c r="I16" s="376"/>
      <c r="J16" s="397"/>
      <c r="K16" s="376"/>
      <c r="L16" s="379"/>
      <c r="M16" s="857">
        <f t="shared" si="0"/>
        <v>0</v>
      </c>
      <c r="N16" s="325"/>
    </row>
    <row r="17" spans="2:14" ht="21" customHeight="1">
      <c r="B17" s="375"/>
      <c r="C17" s="375"/>
      <c r="D17" s="375"/>
      <c r="E17" s="375"/>
      <c r="F17" s="397"/>
      <c r="G17" s="376"/>
      <c r="H17" s="397"/>
      <c r="I17" s="376"/>
      <c r="J17" s="397"/>
      <c r="K17" s="376"/>
      <c r="L17" s="379"/>
      <c r="M17" s="857">
        <f t="shared" si="0"/>
        <v>0</v>
      </c>
      <c r="N17" s="325"/>
    </row>
    <row r="18" spans="2:14" ht="21" customHeight="1">
      <c r="B18" s="375"/>
      <c r="C18" s="375"/>
      <c r="D18" s="375"/>
      <c r="E18" s="375"/>
      <c r="F18" s="397"/>
      <c r="G18" s="376"/>
      <c r="H18" s="397"/>
      <c r="I18" s="376"/>
      <c r="J18" s="397"/>
      <c r="K18" s="376"/>
      <c r="L18" s="379"/>
      <c r="M18" s="857">
        <f t="shared" si="0"/>
        <v>0</v>
      </c>
      <c r="N18" s="325"/>
    </row>
    <row r="19" spans="2:14" ht="21" customHeight="1">
      <c r="B19" s="667"/>
      <c r="C19" s="375"/>
      <c r="D19" s="375"/>
      <c r="E19" s="375"/>
      <c r="F19" s="397"/>
      <c r="G19" s="376"/>
      <c r="H19" s="397"/>
      <c r="I19" s="376"/>
      <c r="J19" s="397"/>
      <c r="K19" s="376"/>
      <c r="L19" s="379"/>
      <c r="M19" s="857">
        <f t="shared" si="0"/>
        <v>0</v>
      </c>
      <c r="N19" s="325"/>
    </row>
    <row r="20" spans="2:14" ht="21" customHeight="1">
      <c r="B20" s="667"/>
      <c r="C20" s="375"/>
      <c r="D20" s="375"/>
      <c r="E20" s="375"/>
      <c r="F20" s="397"/>
      <c r="G20" s="376"/>
      <c r="H20" s="397"/>
      <c r="I20" s="376"/>
      <c r="J20" s="397"/>
      <c r="K20" s="376"/>
      <c r="L20" s="379"/>
      <c r="M20" s="857">
        <f t="shared" si="0"/>
        <v>0</v>
      </c>
      <c r="N20" s="325"/>
    </row>
    <row r="21" spans="2:14" ht="21" customHeight="1">
      <c r="B21" s="667"/>
      <c r="C21" s="375"/>
      <c r="D21" s="375"/>
      <c r="E21" s="375"/>
      <c r="F21" s="397"/>
      <c r="G21" s="376"/>
      <c r="H21" s="397"/>
      <c r="I21" s="376"/>
      <c r="J21" s="397"/>
      <c r="K21" s="376"/>
      <c r="L21" s="379"/>
      <c r="M21" s="857">
        <f t="shared" si="0"/>
        <v>0</v>
      </c>
      <c r="N21" s="325"/>
    </row>
    <row r="22" spans="2:14" ht="21" customHeight="1">
      <c r="B22" s="667"/>
      <c r="C22" s="375"/>
      <c r="D22" s="375"/>
      <c r="E22" s="375"/>
      <c r="F22" s="397"/>
      <c r="G22" s="376"/>
      <c r="H22" s="397"/>
      <c r="I22" s="376"/>
      <c r="J22" s="397"/>
      <c r="K22" s="376"/>
      <c r="L22" s="379"/>
      <c r="M22" s="857">
        <f t="shared" si="0"/>
        <v>0</v>
      </c>
      <c r="N22" s="325"/>
    </row>
    <row r="23" spans="2:14" ht="21" customHeight="1">
      <c r="B23" s="667"/>
      <c r="C23" s="375"/>
      <c r="D23" s="375"/>
      <c r="E23" s="375"/>
      <c r="F23" s="397"/>
      <c r="G23" s="376"/>
      <c r="H23" s="397"/>
      <c r="I23" s="376"/>
      <c r="J23" s="397"/>
      <c r="K23" s="376"/>
      <c r="L23" s="379"/>
      <c r="M23" s="857">
        <f t="shared" si="0"/>
        <v>0</v>
      </c>
      <c r="N23" s="325"/>
    </row>
    <row r="24" spans="2:14" ht="21" customHeight="1">
      <c r="B24" s="667"/>
      <c r="C24" s="375"/>
      <c r="D24" s="375"/>
      <c r="E24" s="375"/>
      <c r="F24" s="397"/>
      <c r="G24" s="376"/>
      <c r="H24" s="397"/>
      <c r="I24" s="376"/>
      <c r="J24" s="397"/>
      <c r="K24" s="376"/>
      <c r="L24" s="379"/>
      <c r="M24" s="857">
        <f t="shared" si="0"/>
        <v>0</v>
      </c>
      <c r="N24" s="325"/>
    </row>
    <row r="25" spans="2:14" ht="21" customHeight="1">
      <c r="B25" s="375"/>
      <c r="C25" s="375"/>
      <c r="D25" s="375"/>
      <c r="E25" s="375"/>
      <c r="F25" s="397"/>
      <c r="G25" s="376"/>
      <c r="H25" s="397"/>
      <c r="I25" s="376"/>
      <c r="J25" s="397"/>
      <c r="K25" s="376"/>
      <c r="L25" s="379"/>
      <c r="M25" s="857">
        <f t="shared" si="0"/>
        <v>0</v>
      </c>
      <c r="N25" s="325"/>
    </row>
    <row r="26" spans="2:14" ht="21" customHeight="1">
      <c r="B26" s="375"/>
      <c r="C26" s="375"/>
      <c r="D26" s="375"/>
      <c r="E26" s="375"/>
      <c r="F26" s="397"/>
      <c r="G26" s="376"/>
      <c r="H26" s="397"/>
      <c r="I26" s="376"/>
      <c r="J26" s="397"/>
      <c r="K26" s="376"/>
      <c r="L26" s="379"/>
      <c r="M26" s="857">
        <f t="shared" si="0"/>
        <v>0</v>
      </c>
    </row>
    <row r="27" spans="2:14" ht="21" customHeight="1">
      <c r="B27" s="375"/>
      <c r="C27" s="375"/>
      <c r="D27" s="375"/>
      <c r="E27" s="375"/>
      <c r="F27" s="397"/>
      <c r="G27" s="376"/>
      <c r="H27" s="397"/>
      <c r="I27" s="376"/>
      <c r="J27" s="397"/>
      <c r="K27" s="376"/>
      <c r="L27" s="379"/>
      <c r="M27" s="857">
        <f t="shared" si="0"/>
        <v>0</v>
      </c>
    </row>
    <row r="28" spans="2:14" ht="21" customHeight="1">
      <c r="B28" s="375"/>
      <c r="C28" s="375"/>
      <c r="D28" s="375"/>
      <c r="E28" s="375"/>
      <c r="F28" s="397"/>
      <c r="G28" s="376"/>
      <c r="H28" s="397"/>
      <c r="I28" s="376"/>
      <c r="J28" s="397"/>
      <c r="K28" s="376"/>
      <c r="L28" s="379"/>
      <c r="M28" s="857">
        <f t="shared" si="0"/>
        <v>0</v>
      </c>
    </row>
    <row r="29" spans="2:14" ht="21" customHeight="1">
      <c r="B29" s="375"/>
      <c r="C29" s="375"/>
      <c r="D29" s="375"/>
      <c r="E29" s="375"/>
      <c r="F29" s="397"/>
      <c r="G29" s="376"/>
      <c r="H29" s="397"/>
      <c r="I29" s="376"/>
      <c r="J29" s="397"/>
      <c r="K29" s="376"/>
      <c r="L29" s="379"/>
      <c r="M29" s="857">
        <f t="shared" si="0"/>
        <v>0</v>
      </c>
    </row>
    <row r="30" spans="2:14" ht="21" customHeight="1">
      <c r="B30" s="375"/>
      <c r="C30" s="375"/>
      <c r="D30" s="375"/>
      <c r="E30" s="375"/>
      <c r="F30" s="397"/>
      <c r="G30" s="376"/>
      <c r="H30" s="397"/>
      <c r="I30" s="376"/>
      <c r="J30" s="397"/>
      <c r="K30" s="376"/>
      <c r="L30" s="379"/>
      <c r="M30" s="857">
        <f t="shared" si="0"/>
        <v>0</v>
      </c>
    </row>
    <row r="31" spans="2:14" ht="21" customHeight="1">
      <c r="B31" s="375"/>
      <c r="C31" s="375"/>
      <c r="D31" s="375"/>
      <c r="E31" s="375"/>
      <c r="F31" s="397"/>
      <c r="G31" s="376"/>
      <c r="H31" s="397"/>
      <c r="I31" s="376"/>
      <c r="J31" s="397"/>
      <c r="K31" s="376"/>
      <c r="L31" s="379"/>
      <c r="M31" s="857">
        <f t="shared" si="0"/>
        <v>0</v>
      </c>
    </row>
    <row r="32" spans="2:14" ht="21" customHeight="1">
      <c r="B32" s="375"/>
      <c r="C32" s="375"/>
      <c r="D32" s="375"/>
      <c r="E32" s="375"/>
      <c r="F32" s="397"/>
      <c r="G32" s="376"/>
      <c r="H32" s="397"/>
      <c r="I32" s="376"/>
      <c r="J32" s="397"/>
      <c r="K32" s="376"/>
      <c r="L32" s="379"/>
      <c r="M32" s="857">
        <f t="shared" si="0"/>
        <v>0</v>
      </c>
    </row>
    <row r="33" spans="2:13" ht="21" customHeight="1">
      <c r="B33" s="375"/>
      <c r="C33" s="375"/>
      <c r="D33" s="375"/>
      <c r="E33" s="375"/>
      <c r="F33" s="397"/>
      <c r="G33" s="376"/>
      <c r="H33" s="397"/>
      <c r="I33" s="376"/>
      <c r="J33" s="397"/>
      <c r="K33" s="376"/>
      <c r="L33" s="379"/>
      <c r="M33" s="857">
        <f t="shared" si="0"/>
        <v>0</v>
      </c>
    </row>
    <row r="34" spans="2:13" ht="21" customHeight="1">
      <c r="B34" s="375"/>
      <c r="C34" s="375"/>
      <c r="D34" s="375"/>
      <c r="E34" s="375"/>
      <c r="F34" s="397"/>
      <c r="G34" s="376"/>
      <c r="H34" s="397"/>
      <c r="I34" s="376"/>
      <c r="J34" s="397"/>
      <c r="K34" s="376"/>
      <c r="L34" s="379"/>
      <c r="M34" s="857">
        <f t="shared" si="0"/>
        <v>0</v>
      </c>
    </row>
    <row r="35" spans="2:13" ht="21" customHeight="1">
      <c r="B35" s="375"/>
      <c r="C35" s="375"/>
      <c r="D35" s="375"/>
      <c r="E35" s="375"/>
      <c r="F35" s="397"/>
      <c r="G35" s="376"/>
      <c r="H35" s="397"/>
      <c r="I35" s="376"/>
      <c r="J35" s="397"/>
      <c r="K35" s="376"/>
      <c r="L35" s="379"/>
      <c r="M35" s="857">
        <f t="shared" si="0"/>
        <v>0</v>
      </c>
    </row>
    <row r="36" spans="2:13" ht="21" customHeight="1">
      <c r="B36" s="375"/>
      <c r="C36" s="375"/>
      <c r="D36" s="375"/>
      <c r="E36" s="375"/>
      <c r="F36" s="397"/>
      <c r="G36" s="376"/>
      <c r="H36" s="397"/>
      <c r="I36" s="376"/>
      <c r="J36" s="397"/>
      <c r="K36" s="376"/>
      <c r="L36" s="379"/>
      <c r="M36" s="857">
        <f t="shared" si="0"/>
        <v>0</v>
      </c>
    </row>
    <row r="37" spans="2:13" ht="21" customHeight="1">
      <c r="B37" s="375"/>
      <c r="C37" s="375"/>
      <c r="D37" s="375"/>
      <c r="E37" s="375"/>
      <c r="F37" s="397"/>
      <c r="G37" s="376"/>
      <c r="H37" s="397"/>
      <c r="I37" s="376"/>
      <c r="J37" s="397"/>
      <c r="K37" s="376"/>
      <c r="L37" s="379"/>
      <c r="M37" s="857">
        <f t="shared" si="0"/>
        <v>0</v>
      </c>
    </row>
    <row r="38" spans="2:13" ht="21" customHeight="1">
      <c r="B38" s="375"/>
      <c r="C38" s="375"/>
      <c r="D38" s="375"/>
      <c r="E38" s="375"/>
      <c r="F38" s="397"/>
      <c r="G38" s="376"/>
      <c r="H38" s="397"/>
      <c r="I38" s="376"/>
      <c r="J38" s="397"/>
      <c r="K38" s="376"/>
      <c r="L38" s="379"/>
      <c r="M38" s="857">
        <f t="shared" si="0"/>
        <v>0</v>
      </c>
    </row>
    <row r="39" spans="2:13" ht="21" customHeight="1">
      <c r="B39" s="375"/>
      <c r="C39" s="375"/>
      <c r="D39" s="375"/>
      <c r="E39" s="375"/>
      <c r="F39" s="397"/>
      <c r="G39" s="376"/>
      <c r="H39" s="397"/>
      <c r="I39" s="376"/>
      <c r="J39" s="397"/>
      <c r="K39" s="376"/>
      <c r="L39" s="379"/>
      <c r="M39" s="857">
        <f t="shared" si="0"/>
        <v>0</v>
      </c>
    </row>
    <row r="40" spans="2:13" ht="21" customHeight="1">
      <c r="B40" s="375"/>
      <c r="C40" s="375"/>
      <c r="D40" s="375"/>
      <c r="E40" s="375"/>
      <c r="F40" s="397"/>
      <c r="G40" s="376"/>
      <c r="H40" s="397"/>
      <c r="I40" s="376"/>
      <c r="J40" s="397"/>
      <c r="K40" s="376"/>
      <c r="L40" s="379"/>
      <c r="M40" s="857">
        <f t="shared" si="0"/>
        <v>0</v>
      </c>
    </row>
    <row r="41" spans="2:13" ht="21" customHeight="1">
      <c r="B41" s="375"/>
      <c r="C41" s="375"/>
      <c r="D41" s="375"/>
      <c r="E41" s="375"/>
      <c r="F41" s="397"/>
      <c r="G41" s="376"/>
      <c r="H41" s="397"/>
      <c r="I41" s="376"/>
      <c r="J41" s="397"/>
      <c r="K41" s="376"/>
      <c r="L41" s="379"/>
      <c r="M41" s="857">
        <f t="shared" si="0"/>
        <v>0</v>
      </c>
    </row>
    <row r="42" spans="2:13" ht="21" customHeight="1">
      <c r="B42" s="375"/>
      <c r="C42" s="375"/>
      <c r="D42" s="375"/>
      <c r="E42" s="375"/>
      <c r="F42" s="397"/>
      <c r="G42" s="376"/>
      <c r="H42" s="397"/>
      <c r="I42" s="376"/>
      <c r="J42" s="397"/>
      <c r="K42" s="376"/>
      <c r="L42" s="379"/>
      <c r="M42" s="857">
        <f t="shared" si="0"/>
        <v>0</v>
      </c>
    </row>
    <row r="43" spans="2:13" ht="21" customHeight="1">
      <c r="B43" s="375"/>
      <c r="C43" s="375"/>
      <c r="D43" s="375"/>
      <c r="E43" s="375"/>
      <c r="F43" s="397"/>
      <c r="G43" s="376"/>
      <c r="H43" s="397"/>
      <c r="I43" s="376"/>
      <c r="J43" s="397"/>
      <c r="K43" s="376"/>
      <c r="L43" s="379"/>
      <c r="M43" s="857">
        <f t="shared" si="0"/>
        <v>0</v>
      </c>
    </row>
    <row r="44" spans="2:13" ht="21" customHeight="1">
      <c r="B44" s="375"/>
      <c r="C44" s="375"/>
      <c r="D44" s="375"/>
      <c r="E44" s="375"/>
      <c r="F44" s="397"/>
      <c r="G44" s="376"/>
      <c r="H44" s="397"/>
      <c r="I44" s="376"/>
      <c r="J44" s="397"/>
      <c r="K44" s="376"/>
      <c r="L44" s="379"/>
      <c r="M44" s="857">
        <f t="shared" si="0"/>
        <v>0</v>
      </c>
    </row>
    <row r="45" spans="2:13" ht="21" customHeight="1">
      <c r="B45" s="375"/>
      <c r="C45" s="375"/>
      <c r="D45" s="375"/>
      <c r="E45" s="375"/>
      <c r="F45" s="397"/>
      <c r="G45" s="376"/>
      <c r="H45" s="397"/>
      <c r="I45" s="376"/>
      <c r="J45" s="397"/>
      <c r="K45" s="376"/>
      <c r="L45" s="379"/>
      <c r="M45" s="857">
        <f t="shared" si="0"/>
        <v>0</v>
      </c>
    </row>
    <row r="46" spans="2:13" ht="21" customHeight="1">
      <c r="B46" s="375"/>
      <c r="C46" s="375"/>
      <c r="D46" s="375"/>
      <c r="E46" s="375"/>
      <c r="F46" s="397"/>
      <c r="G46" s="376"/>
      <c r="H46" s="397"/>
      <c r="I46" s="376"/>
      <c r="J46" s="397"/>
      <c r="K46" s="376"/>
      <c r="L46" s="379"/>
      <c r="M46" s="857">
        <f t="shared" si="0"/>
        <v>0</v>
      </c>
    </row>
    <row r="47" spans="2:13" ht="21" customHeight="1">
      <c r="B47" s="375"/>
      <c r="C47" s="375"/>
      <c r="D47" s="375"/>
      <c r="E47" s="375"/>
      <c r="F47" s="397"/>
      <c r="G47" s="376"/>
      <c r="H47" s="397"/>
      <c r="I47" s="376"/>
      <c r="J47" s="397"/>
      <c r="K47" s="376"/>
      <c r="L47" s="379"/>
      <c r="M47" s="857">
        <f t="shared" si="0"/>
        <v>0</v>
      </c>
    </row>
    <row r="48" spans="2:13" ht="21" customHeight="1">
      <c r="B48" s="286"/>
      <c r="C48" s="286"/>
      <c r="D48" s="151" t="s">
        <v>3539</v>
      </c>
      <c r="E48" s="286"/>
      <c r="F48" s="322" t="s">
        <v>482</v>
      </c>
      <c r="G48" s="160">
        <f>SUM(G10:G47)</f>
        <v>4869244.87</v>
      </c>
      <c r="H48" s="322" t="s">
        <v>482</v>
      </c>
      <c r="I48" s="160">
        <f>SUM(I10:I47)</f>
        <v>4146662.7600000002</v>
      </c>
      <c r="J48" s="322" t="s">
        <v>482</v>
      </c>
      <c r="K48" s="160">
        <f>SUM(K10:K47)</f>
        <v>3351624.0200000005</v>
      </c>
      <c r="L48" s="322" t="s">
        <v>482</v>
      </c>
      <c r="M48" s="857">
        <f>SUM(M10:M47)</f>
        <v>5664283.6099999994</v>
      </c>
    </row>
    <row r="50" spans="2:13" ht="13.8">
      <c r="B50" s="1572" t="s">
        <v>3541</v>
      </c>
      <c r="C50" s="1572"/>
      <c r="D50" s="1572"/>
      <c r="E50" s="1572"/>
      <c r="F50" s="1572"/>
      <c r="G50" s="1572"/>
      <c r="H50" s="1572"/>
      <c r="I50" s="1572"/>
      <c r="J50" s="1572"/>
      <c r="K50" s="1572"/>
      <c r="L50" s="1572"/>
      <c r="M50" s="1572"/>
    </row>
    <row r="52" spans="2:13">
      <c r="G52" s="325"/>
      <c r="M52" s="325"/>
    </row>
  </sheetData>
  <sheetProtection algorithmName="SHA-512" hashValue="KuOQflrUof5OsylgnLbQPOLcwKCJhYIhoRxDO38/olagXb7iaugNHkLlRtdcMo/io/Z6dfgJ7RC3gefCQkU9QQ==" saltValue="bWpz9bWfvfYQIetZMmPrR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29">
    <tabColor theme="2" tint="-0.249977111117893"/>
  </sheetPr>
  <dimension ref="B1:T55"/>
  <sheetViews>
    <sheetView zoomScaleNormal="100" zoomScaleSheetLayoutView="80" workbookViewId="0">
      <selection activeCell="B1" sqref="B1"/>
    </sheetView>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6"/>
      <c r="C1" s="1116"/>
      <c r="D1" s="1116"/>
      <c r="E1" s="1116"/>
      <c r="F1" s="1116"/>
      <c r="G1" s="1116"/>
      <c r="H1" s="1116"/>
      <c r="I1" s="1116"/>
      <c r="J1" s="1116"/>
    </row>
    <row r="2" spans="2:20" ht="22.8">
      <c r="B2" s="1760" t="str">
        <f>"SCHEDULE  OF "&amp;UPPER('KEY INPUTS'!D55)&amp;" UTILITY  BUDGET  -  "&amp;TEXT('KEY INPUTS'!D34,"0")&amp;""</f>
        <v>SCHEDULE  OF  UTILITY  BUDGET  -  2019</v>
      </c>
      <c r="C2" s="1760"/>
      <c r="D2" s="1760"/>
      <c r="E2" s="1760"/>
      <c r="F2" s="1760"/>
      <c r="G2" s="1760"/>
      <c r="H2" s="1760"/>
      <c r="I2" s="1760"/>
      <c r="J2" s="1760"/>
    </row>
    <row r="3" spans="2:20" ht="12" customHeight="1">
      <c r="B3" s="1303"/>
      <c r="C3" s="1303"/>
      <c r="D3" s="1303"/>
      <c r="E3" s="1303"/>
      <c r="F3" s="1303"/>
      <c r="G3" s="1303"/>
      <c r="H3" s="1303"/>
      <c r="I3" s="1303"/>
      <c r="J3" s="1303"/>
    </row>
    <row r="4" spans="2:20" ht="17.25" customHeight="1" thickBot="1">
      <c r="B4" s="1920" t="s">
        <v>1056</v>
      </c>
      <c r="C4" s="1920"/>
      <c r="D4" s="1920"/>
      <c r="E4" s="1920"/>
      <c r="F4" s="1920"/>
      <c r="G4" s="1920"/>
      <c r="H4" s="1920"/>
      <c r="I4" s="1920"/>
      <c r="J4" s="1920"/>
    </row>
    <row r="5" spans="2:20" ht="13.8" thickTop="1">
      <c r="B5" s="1921" t="s">
        <v>211</v>
      </c>
      <c r="C5" s="1921"/>
      <c r="D5" s="1921"/>
      <c r="E5" s="1921"/>
      <c r="F5" s="1921"/>
      <c r="G5" s="1886"/>
      <c r="H5" s="1240" t="s">
        <v>677</v>
      </c>
      <c r="I5" s="1240" t="s">
        <v>804</v>
      </c>
      <c r="J5" s="1304" t="s">
        <v>424</v>
      </c>
    </row>
    <row r="6" spans="2:20" ht="13.8" thickBot="1">
      <c r="B6" s="1922"/>
      <c r="C6" s="1922"/>
      <c r="D6" s="1922"/>
      <c r="E6" s="1922"/>
      <c r="F6" s="1922"/>
      <c r="G6" s="1923"/>
      <c r="H6" s="1305"/>
      <c r="I6" s="1305" t="s">
        <v>423</v>
      </c>
      <c r="J6" s="1306" t="s">
        <v>425</v>
      </c>
    </row>
    <row r="7" spans="2:20" ht="21" customHeight="1" thickTop="1">
      <c r="B7" s="1172" t="s">
        <v>3435</v>
      </c>
      <c r="C7" s="1172"/>
      <c r="D7" s="1172"/>
      <c r="E7" s="1172"/>
      <c r="F7" s="1172"/>
      <c r="G7" s="1307" t="s">
        <v>3434</v>
      </c>
      <c r="H7" s="605"/>
      <c r="I7" s="1311">
        <f>H7</f>
        <v>0</v>
      </c>
      <c r="J7" s="1205">
        <f>+I7-H7</f>
        <v>0</v>
      </c>
    </row>
    <row r="8" spans="2:20" ht="10.5" customHeight="1">
      <c r="B8" s="1211" t="s">
        <v>3433</v>
      </c>
      <c r="C8" s="1116"/>
      <c r="D8" s="1116"/>
      <c r="E8" s="1116"/>
      <c r="F8" s="1116"/>
      <c r="G8" s="1308"/>
      <c r="H8" s="1310"/>
      <c r="I8" s="1310"/>
      <c r="J8" s="1120"/>
    </row>
    <row r="9" spans="2:20">
      <c r="B9" s="1130" t="s">
        <v>214</v>
      </c>
      <c r="C9" s="1130"/>
      <c r="D9" s="1130"/>
      <c r="E9" s="1130"/>
      <c r="F9" s="1130"/>
      <c r="G9" s="1309" t="s">
        <v>3432</v>
      </c>
      <c r="H9" s="653"/>
      <c r="I9" s="653"/>
      <c r="J9" s="860">
        <f t="shared" ref="J9:J15" si="0">+I9-H9</f>
        <v>0</v>
      </c>
    </row>
    <row r="10" spans="2:20" ht="21" customHeight="1">
      <c r="B10" s="648"/>
      <c r="C10" s="648"/>
      <c r="D10" s="648"/>
      <c r="E10" s="648"/>
      <c r="F10" s="648"/>
      <c r="G10" s="1168"/>
      <c r="H10" s="782"/>
      <c r="I10" s="782"/>
      <c r="J10" s="1312">
        <f t="shared" si="0"/>
        <v>0</v>
      </c>
      <c r="N10" s="322"/>
      <c r="O10" s="322"/>
      <c r="P10" s="322"/>
      <c r="Q10" s="322"/>
      <c r="R10" s="322"/>
      <c r="S10" s="322"/>
      <c r="T10" s="322"/>
    </row>
    <row r="11" spans="2:20" ht="21" customHeight="1">
      <c r="B11" s="648"/>
      <c r="C11" s="648"/>
      <c r="D11" s="648"/>
      <c r="E11" s="648"/>
      <c r="F11" s="648"/>
      <c r="G11" s="1168"/>
      <c r="H11" s="782"/>
      <c r="I11" s="782"/>
      <c r="J11" s="1126">
        <f t="shared" si="0"/>
        <v>0</v>
      </c>
      <c r="N11" s="322"/>
      <c r="O11" s="322"/>
      <c r="P11" s="322"/>
      <c r="Q11" s="322"/>
      <c r="R11" s="322"/>
      <c r="S11" s="322"/>
      <c r="T11" s="322"/>
    </row>
    <row r="12" spans="2:20" ht="21" customHeight="1">
      <c r="B12" s="648"/>
      <c r="C12" s="648"/>
      <c r="D12" s="648"/>
      <c r="E12" s="648"/>
      <c r="F12" s="648"/>
      <c r="G12" s="1168"/>
      <c r="H12" s="782"/>
      <c r="I12" s="782"/>
      <c r="J12" s="1126">
        <f t="shared" si="0"/>
        <v>0</v>
      </c>
      <c r="N12" s="377"/>
      <c r="O12" s="322"/>
      <c r="P12" s="322"/>
      <c r="Q12" s="322"/>
      <c r="R12" s="322"/>
      <c r="S12" s="322"/>
      <c r="T12" s="322"/>
    </row>
    <row r="13" spans="2:20" ht="21" customHeight="1">
      <c r="B13" s="648"/>
      <c r="C13" s="648"/>
      <c r="D13" s="648"/>
      <c r="E13" s="648"/>
      <c r="F13" s="648"/>
      <c r="G13" s="1168"/>
      <c r="H13" s="782"/>
      <c r="I13" s="782"/>
      <c r="J13" s="1126">
        <f t="shared" si="0"/>
        <v>0</v>
      </c>
      <c r="N13" s="322"/>
      <c r="O13" s="322"/>
      <c r="P13" s="322"/>
      <c r="Q13" s="322"/>
      <c r="R13" s="322"/>
      <c r="S13" s="322"/>
      <c r="T13" s="322"/>
    </row>
    <row r="14" spans="2:20" ht="21" customHeight="1">
      <c r="B14" s="648"/>
      <c r="C14" s="648"/>
      <c r="D14" s="648"/>
      <c r="E14" s="648"/>
      <c r="F14" s="648"/>
      <c r="G14" s="1168"/>
      <c r="H14" s="782"/>
      <c r="I14" s="782"/>
      <c r="J14" s="1126">
        <f t="shared" si="0"/>
        <v>0</v>
      </c>
      <c r="N14" s="322"/>
      <c r="O14" s="322"/>
      <c r="P14" s="322"/>
      <c r="Q14" s="322"/>
      <c r="R14" s="322"/>
      <c r="S14" s="322"/>
      <c r="T14" s="322"/>
    </row>
    <row r="15" spans="2:20" ht="21" customHeight="1">
      <c r="B15" s="691" t="s">
        <v>3431</v>
      </c>
      <c r="C15" s="691"/>
      <c r="D15" s="691"/>
      <c r="E15" s="691"/>
      <c r="F15" s="691"/>
      <c r="G15" s="1309" t="s">
        <v>3427</v>
      </c>
      <c r="H15" s="782"/>
      <c r="I15" s="782"/>
      <c r="J15" s="1126">
        <f t="shared" si="0"/>
        <v>0</v>
      </c>
      <c r="N15" s="322"/>
      <c r="O15" s="322"/>
      <c r="P15" s="322"/>
      <c r="Q15" s="322"/>
      <c r="R15" s="322"/>
      <c r="S15" s="322"/>
      <c r="T15" s="322"/>
    </row>
    <row r="16" spans="2:20" ht="21" customHeight="1">
      <c r="B16" s="691" t="s">
        <v>3430</v>
      </c>
      <c r="C16" s="691"/>
      <c r="D16" s="691"/>
      <c r="E16" s="691"/>
      <c r="F16" s="691"/>
      <c r="G16" s="1309"/>
      <c r="H16" s="782"/>
      <c r="I16" s="782"/>
      <c r="J16" s="1126"/>
      <c r="N16" s="322"/>
      <c r="O16" s="322"/>
      <c r="P16" s="322"/>
      <c r="Q16" s="322"/>
      <c r="R16" s="322"/>
      <c r="S16" s="322"/>
      <c r="T16" s="322"/>
    </row>
    <row r="17" spans="2:20" ht="21" customHeight="1">
      <c r="B17" s="691" t="s">
        <v>422</v>
      </c>
      <c r="C17" s="691"/>
      <c r="D17" s="691"/>
      <c r="E17" s="691"/>
      <c r="F17" s="691"/>
      <c r="G17" s="1309"/>
      <c r="H17" s="1176" t="s">
        <v>788</v>
      </c>
      <c r="I17" s="1176" t="s">
        <v>788</v>
      </c>
      <c r="J17" s="1302"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2"/>
      <c r="N19" s="322"/>
      <c r="O19" s="322"/>
      <c r="P19" s="322"/>
      <c r="Q19" s="322"/>
      <c r="R19" s="322"/>
      <c r="S19" s="322"/>
      <c r="T19" s="322"/>
    </row>
    <row r="20" spans="2:20" ht="21" customHeight="1" thickTop="1">
      <c r="B20" s="691"/>
      <c r="C20" s="691"/>
      <c r="D20" s="691" t="s">
        <v>421</v>
      </c>
      <c r="E20" s="691"/>
      <c r="F20" s="691"/>
      <c r="G20" s="1314"/>
      <c r="H20" s="1317">
        <f>SUM(H7:H19)</f>
        <v>0</v>
      </c>
      <c r="I20" s="1317">
        <f>SUM(I7:I19)</f>
        <v>0</v>
      </c>
      <c r="J20" s="860">
        <f>SUM(J7:J19)</f>
        <v>0</v>
      </c>
      <c r="N20" s="322"/>
      <c r="O20" s="322"/>
      <c r="P20" s="322"/>
      <c r="Q20" s="322"/>
      <c r="R20" s="322"/>
      <c r="S20" s="322"/>
      <c r="T20" s="322"/>
    </row>
    <row r="21" spans="2:20" ht="21" customHeight="1" thickBot="1">
      <c r="B21" s="691" t="s">
        <v>3429</v>
      </c>
      <c r="C21" s="1315"/>
      <c r="D21" s="1315"/>
      <c r="E21" s="691"/>
      <c r="F21" s="691"/>
      <c r="G21" s="1309" t="s">
        <v>3428</v>
      </c>
      <c r="H21" s="655"/>
      <c r="I21" s="655"/>
      <c r="J21" s="1120">
        <f>I21-H21</f>
        <v>0</v>
      </c>
      <c r="N21" s="322"/>
      <c r="O21" s="322"/>
      <c r="P21" s="322"/>
      <c r="Q21" s="322"/>
      <c r="R21" s="322"/>
      <c r="S21" s="322"/>
      <c r="T21" s="322"/>
    </row>
    <row r="22" spans="2:20" ht="21" customHeight="1" thickTop="1" thickBot="1">
      <c r="B22" s="1116"/>
      <c r="C22" s="1116"/>
      <c r="D22" s="1116"/>
      <c r="E22" s="1116"/>
      <c r="F22" s="1116"/>
      <c r="G22" s="1316" t="s">
        <v>3427</v>
      </c>
      <c r="H22" s="1318">
        <f>+H20+H21</f>
        <v>0</v>
      </c>
      <c r="I22" s="1318">
        <f>+I20+I21</f>
        <v>0</v>
      </c>
      <c r="J22" s="1313">
        <f>+J20+J21</f>
        <v>0</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0" t="s">
        <v>426</v>
      </c>
      <c r="C27" s="1920"/>
      <c r="D27" s="1920"/>
      <c r="E27" s="1920"/>
      <c r="F27" s="1920"/>
      <c r="G27" s="1920"/>
      <c r="H27" s="1920"/>
      <c r="I27" s="1920"/>
      <c r="J27" s="1920"/>
    </row>
    <row r="28" spans="2:20" ht="21" customHeight="1" thickTop="1">
      <c r="B28" s="1319" t="s">
        <v>427</v>
      </c>
      <c r="C28" s="1320"/>
      <c r="D28" s="1320"/>
      <c r="E28" s="1320"/>
      <c r="F28" s="1320"/>
      <c r="G28" s="1320"/>
      <c r="H28" s="1320"/>
      <c r="I28" s="1321"/>
      <c r="J28" s="1322" t="s">
        <v>788</v>
      </c>
    </row>
    <row r="29" spans="2:20" ht="21" customHeight="1">
      <c r="B29" s="1323"/>
      <c r="C29" s="1324" t="s">
        <v>222</v>
      </c>
      <c r="D29" s="1324"/>
      <c r="E29" s="1324"/>
      <c r="F29" s="1324"/>
      <c r="G29" s="1324"/>
      <c r="H29" s="1324"/>
      <c r="I29" s="1325"/>
      <c r="J29" s="656"/>
    </row>
    <row r="30" spans="2:20" ht="21" customHeight="1">
      <c r="B30" s="1323"/>
      <c r="C30" s="1324" t="s">
        <v>428</v>
      </c>
      <c r="D30" s="1324"/>
      <c r="E30" s="1324"/>
      <c r="F30" s="1324"/>
      <c r="G30" s="1324"/>
      <c r="H30" s="1324"/>
      <c r="I30" s="1325"/>
      <c r="J30" s="656"/>
    </row>
    <row r="31" spans="2:20" ht="21" customHeight="1" thickBot="1">
      <c r="B31" s="1323"/>
      <c r="C31" s="1324" t="s">
        <v>429</v>
      </c>
      <c r="D31" s="1324"/>
      <c r="E31" s="1324"/>
      <c r="F31" s="1324"/>
      <c r="G31" s="1324"/>
      <c r="H31" s="1324"/>
      <c r="I31" s="1325"/>
      <c r="J31" s="658"/>
    </row>
    <row r="32" spans="2:20" ht="21" customHeight="1" thickTop="1">
      <c r="B32" s="1323" t="s">
        <v>430</v>
      </c>
      <c r="C32" s="1324"/>
      <c r="D32" s="1324"/>
      <c r="E32" s="1324"/>
      <c r="F32" s="1324"/>
      <c r="G32" s="1324"/>
      <c r="H32" s="1324"/>
      <c r="I32" s="1326"/>
      <c r="J32" s="1327">
        <f>SUM(J29:J31)</f>
        <v>0</v>
      </c>
    </row>
    <row r="33" spans="2:13" ht="21" customHeight="1" thickBot="1">
      <c r="B33" s="1323" t="s">
        <v>431</v>
      </c>
      <c r="C33" s="1324"/>
      <c r="D33" s="1324"/>
      <c r="E33" s="1324"/>
      <c r="F33" s="1324"/>
      <c r="G33" s="1324"/>
      <c r="H33" s="1324"/>
      <c r="I33" s="1326"/>
      <c r="J33" s="658"/>
    </row>
    <row r="34" spans="2:13" ht="21" customHeight="1" thickTop="1">
      <c r="B34" s="1323" t="s">
        <v>917</v>
      </c>
      <c r="C34" s="1324"/>
      <c r="D34" s="1324"/>
      <c r="E34" s="1324"/>
      <c r="F34" s="1324"/>
      <c r="G34" s="1324"/>
      <c r="H34" s="1324"/>
      <c r="I34" s="1326"/>
      <c r="J34" s="1327">
        <f>+J32+J33</f>
        <v>0</v>
      </c>
    </row>
    <row r="35" spans="2:13" ht="21" customHeight="1">
      <c r="B35" s="1323" t="s">
        <v>432</v>
      </c>
      <c r="C35" s="1324"/>
      <c r="D35" s="1324"/>
      <c r="E35" s="1324"/>
      <c r="F35" s="1324"/>
      <c r="G35" s="1324"/>
      <c r="H35" s="1324"/>
      <c r="I35" s="1326"/>
      <c r="J35" s="1328"/>
    </row>
    <row r="36" spans="2:13" ht="21" customHeight="1">
      <c r="B36" s="1330"/>
      <c r="C36" s="1330" t="s">
        <v>754</v>
      </c>
      <c r="D36" s="1330"/>
      <c r="E36" s="1330"/>
      <c r="F36" s="1330"/>
      <c r="G36" s="1330"/>
      <c r="H36" s="1330"/>
      <c r="I36" s="659"/>
      <c r="J36" s="1329"/>
    </row>
    <row r="37" spans="2:13" ht="21" customHeight="1">
      <c r="B37" s="1330"/>
      <c r="C37" s="1330" t="s">
        <v>921</v>
      </c>
      <c r="D37" s="1330"/>
      <c r="E37" s="1330"/>
      <c r="F37" s="1330"/>
      <c r="G37" s="1330"/>
      <c r="H37" s="1330"/>
      <c r="I37" s="659"/>
      <c r="J37" s="1329"/>
    </row>
    <row r="38" spans="2:13" ht="21" customHeight="1" thickBot="1">
      <c r="B38" s="1330" t="s">
        <v>433</v>
      </c>
      <c r="C38" s="1330"/>
      <c r="D38" s="1330"/>
      <c r="E38" s="1330"/>
      <c r="F38" s="1330"/>
      <c r="G38" s="1330"/>
      <c r="H38" s="1330"/>
      <c r="I38" s="660"/>
      <c r="J38" s="656"/>
      <c r="M38" s="399"/>
    </row>
    <row r="39" spans="2:13" ht="21" customHeight="1" thickTop="1" thickBot="1">
      <c r="B39" s="1330" t="s">
        <v>922</v>
      </c>
      <c r="C39" s="1330"/>
      <c r="D39" s="1330"/>
      <c r="E39" s="1330"/>
      <c r="F39" s="1330"/>
      <c r="G39" s="1330"/>
      <c r="H39" s="1330"/>
      <c r="I39" s="1331"/>
      <c r="J39" s="1333">
        <f>SUM(I36:I38)</f>
        <v>0</v>
      </c>
    </row>
    <row r="40" spans="2:13" ht="21" customHeight="1" thickTop="1" thickBot="1">
      <c r="B40" s="1330" t="s">
        <v>434</v>
      </c>
      <c r="C40" s="1330"/>
      <c r="D40" s="1330"/>
      <c r="E40" s="1330"/>
      <c r="F40" s="1330"/>
      <c r="G40" s="1330"/>
      <c r="H40" s="1330"/>
      <c r="I40" s="1332"/>
      <c r="J40" s="1334">
        <f>+J34-J39</f>
        <v>0</v>
      </c>
      <c r="K40" s="399"/>
    </row>
    <row r="41" spans="2:13" ht="13.8"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3.8">
      <c r="B55" s="1766" t="s">
        <v>3419</v>
      </c>
      <c r="C55" s="1766"/>
      <c r="D55" s="1766"/>
      <c r="E55" s="1766"/>
      <c r="F55" s="1766"/>
      <c r="G55" s="1766"/>
      <c r="H55" s="1766"/>
      <c r="I55" s="1766"/>
      <c r="J55" s="176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0">
    <tabColor theme="2" tint="-0.249977111117893"/>
  </sheetPr>
  <dimension ref="B1:T57"/>
  <sheetViews>
    <sheetView zoomScaleNormal="100" zoomScaleSheetLayoutView="80" workbookViewId="0">
      <selection activeCell="B1" sqref="B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6"/>
      <c r="C1" s="1116"/>
      <c r="D1" s="1116"/>
      <c r="E1" s="1116"/>
      <c r="F1" s="1116"/>
      <c r="G1" s="1116"/>
      <c r="H1" s="1116"/>
      <c r="I1" s="1116"/>
      <c r="J1" s="1116"/>
      <c r="K1" s="1116"/>
    </row>
    <row r="2" spans="2:20">
      <c r="B2" s="1116"/>
      <c r="C2" s="1116"/>
      <c r="D2" s="1116"/>
      <c r="E2" s="1116"/>
      <c r="F2" s="1116"/>
      <c r="G2" s="1116"/>
      <c r="H2" s="1116"/>
      <c r="I2" s="1116"/>
      <c r="J2" s="1116"/>
      <c r="K2" s="1116"/>
    </row>
    <row r="3" spans="2:20" ht="22.8">
      <c r="B3" s="1760" t="str">
        <f>"STATEMENT  OF  "&amp;TEXT('KEY INPUTS'!D34,"0")&amp;"  OPERATION"</f>
        <v>STATEMENT  OF  2019  OPERATION</v>
      </c>
      <c r="C3" s="1760"/>
      <c r="D3" s="1760"/>
      <c r="E3" s="1760"/>
      <c r="F3" s="1760"/>
      <c r="G3" s="1760"/>
      <c r="H3" s="1760"/>
      <c r="I3" s="1760"/>
      <c r="J3" s="1760"/>
      <c r="K3" s="1760"/>
    </row>
    <row r="4" spans="2:20">
      <c r="B4" s="1116"/>
      <c r="C4" s="1116"/>
      <c r="D4" s="1116"/>
      <c r="E4" s="1116"/>
      <c r="F4" s="1116"/>
      <c r="G4" s="1116"/>
      <c r="H4" s="1116"/>
      <c r="I4" s="1116"/>
      <c r="J4" s="1116"/>
      <c r="K4" s="1116"/>
    </row>
    <row r="5" spans="2:20" ht="20.399999999999999">
      <c r="B5" s="1789" t="str">
        <f>UPPER('KEY INPUTS'!D55)&amp;" UTILITY"</f>
        <v xml:space="preserve"> UTILITY</v>
      </c>
      <c r="C5" s="1789"/>
      <c r="D5" s="1789"/>
      <c r="E5" s="1789"/>
      <c r="F5" s="1789"/>
      <c r="G5" s="1789"/>
      <c r="H5" s="1789"/>
      <c r="I5" s="1789"/>
      <c r="J5" s="1789"/>
      <c r="K5" s="1789"/>
    </row>
    <row r="6" spans="2:20">
      <c r="B6" s="1116"/>
      <c r="C6" s="1116"/>
      <c r="D6" s="1116"/>
      <c r="E6" s="1116"/>
      <c r="F6" s="1116"/>
      <c r="G6" s="1116"/>
      <c r="H6" s="1116"/>
      <c r="I6" s="1116"/>
      <c r="J6" s="1116"/>
      <c r="K6" s="1116"/>
    </row>
    <row r="7" spans="2:20">
      <c r="B7" s="1116"/>
      <c r="C7" s="1116"/>
      <c r="D7" s="1116"/>
      <c r="E7" s="1116"/>
      <c r="F7" s="1116"/>
      <c r="G7" s="1116"/>
      <c r="H7" s="1116"/>
      <c r="I7" s="1116"/>
      <c r="J7" s="1116"/>
      <c r="K7" s="1116"/>
    </row>
    <row r="8" spans="2:20">
      <c r="B8" s="1116" t="s">
        <v>408</v>
      </c>
      <c r="C8" s="1191" t="str">
        <f>"Section 1 of this sheet is required to be filled out ONLY IF the "&amp;TEXT('KEY INPUTS'!D34,"0")&amp;" "&amp;PROPER('KEY INPUTS'!D55)&amp;" Utility Budget contained"</f>
        <v>Section 1 of this sheet is required to be filled out ONLY IF the 2019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843"/>
      <c r="N15" s="322"/>
      <c r="O15" s="322"/>
      <c r="P15" s="322"/>
      <c r="Q15" s="322"/>
      <c r="R15" s="322"/>
      <c r="S15" s="322"/>
      <c r="T15" s="322"/>
    </row>
    <row r="16" spans="2:20" ht="21" customHeight="1">
      <c r="B16" s="691"/>
      <c r="C16" s="691" t="s">
        <v>439</v>
      </c>
      <c r="D16" s="691"/>
      <c r="E16" s="691"/>
      <c r="F16" s="691"/>
      <c r="G16" s="691"/>
      <c r="H16" s="691"/>
      <c r="I16" s="691"/>
      <c r="J16" s="844">
        <f>+'44-Utility4'!I20</f>
        <v>0</v>
      </c>
      <c r="K16" s="843"/>
      <c r="N16" s="322"/>
      <c r="O16" s="322"/>
      <c r="P16" s="322"/>
      <c r="Q16" s="322"/>
      <c r="R16" s="322"/>
      <c r="S16" s="322"/>
      <c r="T16" s="322"/>
    </row>
    <row r="17" spans="2:20" ht="21" customHeight="1">
      <c r="B17" s="691"/>
      <c r="C17" s="691" t="s">
        <v>440</v>
      </c>
      <c r="D17" s="691"/>
      <c r="E17" s="691"/>
      <c r="F17" s="691"/>
      <c r="G17" s="691"/>
      <c r="H17" s="691"/>
      <c r="I17" s="691"/>
      <c r="J17" s="575"/>
      <c r="K17" s="843"/>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0</v>
      </c>
      <c r="K18" s="843"/>
      <c r="N18" s="322"/>
      <c r="O18" s="322"/>
      <c r="P18" s="322"/>
      <c r="Q18" s="322"/>
      <c r="R18" s="322"/>
      <c r="S18" s="322"/>
      <c r="T18" s="322"/>
    </row>
    <row r="19" spans="2:20" ht="21" customHeight="1">
      <c r="B19" s="691"/>
      <c r="C19" s="648"/>
      <c r="D19" s="648"/>
      <c r="E19" s="648"/>
      <c r="F19" s="648"/>
      <c r="G19" s="648"/>
      <c r="H19" s="648"/>
      <c r="I19" s="648"/>
      <c r="J19" s="374"/>
      <c r="K19" s="843"/>
      <c r="N19" s="322"/>
      <c r="O19" s="322"/>
      <c r="P19" s="322"/>
      <c r="Q19" s="322"/>
      <c r="R19" s="322"/>
      <c r="S19" s="322"/>
      <c r="T19" s="322"/>
    </row>
    <row r="20" spans="2:20" ht="21" customHeight="1">
      <c r="B20" s="691"/>
      <c r="C20" s="648"/>
      <c r="D20" s="648"/>
      <c r="E20" s="648"/>
      <c r="F20" s="648"/>
      <c r="G20" s="648"/>
      <c r="H20" s="648"/>
      <c r="I20" s="648"/>
      <c r="J20" s="374"/>
      <c r="K20" s="843"/>
      <c r="N20" s="322"/>
      <c r="O20" s="322"/>
      <c r="P20" s="322"/>
      <c r="Q20" s="322"/>
      <c r="R20" s="322"/>
      <c r="S20" s="322"/>
      <c r="T20" s="322"/>
    </row>
    <row r="21" spans="2:20" ht="21" customHeight="1">
      <c r="B21" s="691"/>
      <c r="C21" s="691" t="s">
        <v>441</v>
      </c>
      <c r="D21" s="691"/>
      <c r="E21" s="691"/>
      <c r="F21" s="691"/>
      <c r="G21" s="691"/>
      <c r="H21" s="691"/>
      <c r="I21" s="691"/>
      <c r="J21" s="575"/>
      <c r="K21" s="853">
        <f>SUM(J16:J20)</f>
        <v>0</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+'44-Utility4'!I36</f>
        <v>0</v>
      </c>
      <c r="K24" s="843"/>
      <c r="N24" s="322"/>
      <c r="O24" s="322"/>
      <c r="P24" s="322"/>
      <c r="Q24" s="322"/>
      <c r="R24" s="322"/>
      <c r="S24" s="322"/>
      <c r="T24" s="322"/>
    </row>
    <row r="25" spans="2:20" ht="21" customHeight="1">
      <c r="B25" s="691"/>
      <c r="C25" s="691"/>
      <c r="D25" s="691" t="s">
        <v>921</v>
      </c>
      <c r="E25" s="691"/>
      <c r="F25" s="691"/>
      <c r="G25" s="691"/>
      <c r="H25" s="691"/>
      <c r="I25" s="691"/>
      <c r="J25" s="844">
        <f>+'44-Utility4'!I37</f>
        <v>0</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c r="K27" s="843"/>
      <c r="N27" s="322"/>
      <c r="O27" s="322"/>
      <c r="P27" s="322"/>
      <c r="Q27" s="322"/>
      <c r="R27" s="322"/>
      <c r="S27" s="322"/>
      <c r="T27" s="322"/>
    </row>
    <row r="28" spans="2:20" ht="21" customHeight="1" thickBot="1">
      <c r="B28" s="691"/>
      <c r="C28" s="648"/>
      <c r="D28" s="648"/>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0</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0</v>
      </c>
    </row>
    <row r="33" spans="2:15" ht="21" customHeight="1" thickTop="1" thickBot="1">
      <c r="B33" s="1184" t="s">
        <v>954</v>
      </c>
      <c r="C33" s="1184"/>
      <c r="D33" s="1184"/>
      <c r="E33" s="1184"/>
      <c r="F33" s="1184"/>
      <c r="G33" s="1184"/>
      <c r="H33" s="1184"/>
      <c r="I33" s="1184"/>
      <c r="J33" s="1185"/>
      <c r="K33" s="1186">
        <f>IF(M33&gt;0,M33,0)</f>
        <v>0</v>
      </c>
      <c r="M33" s="399">
        <f>+K21-K32</f>
        <v>0</v>
      </c>
      <c r="N33" s="711" t="s">
        <v>3668</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1179"/>
      <c r="K35" s="843"/>
    </row>
    <row r="36" spans="2:15" ht="12.75" customHeight="1" thickBot="1">
      <c r="B36" s="1802"/>
      <c r="C36" s="1802"/>
      <c r="D36" s="1802"/>
      <c r="E36" s="1130" t="s">
        <v>3784</v>
      </c>
      <c r="F36" s="1130"/>
      <c r="G36" s="1130"/>
      <c r="H36" s="1130"/>
      <c r="I36" s="1130"/>
      <c r="J36" s="1181">
        <f>+K33-J34</f>
        <v>0</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+'44-Utility4'!I21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J42" s="464"/>
      <c r="K42" s="464"/>
    </row>
    <row r="43" spans="2:15" ht="17.399999999999999">
      <c r="B43" s="1170" t="s">
        <v>959</v>
      </c>
      <c r="C43" s="1116"/>
      <c r="D43" s="1116"/>
      <c r="E43" s="1116"/>
      <c r="F43" s="1116"/>
      <c r="G43" s="1116"/>
      <c r="H43" s="1116"/>
      <c r="I43" s="1116"/>
      <c r="J43" s="843"/>
      <c r="K43" s="843"/>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INPUTS'!D55)&amp;" Utility for "&amp;TEXT('KEY INPUTS'!D34,"0")&amp;""</f>
        <v xml:space="preserve"> Utility for 2019</v>
      </c>
      <c r="C46" s="1116"/>
      <c r="D46" s="1116"/>
      <c r="E46" s="1116"/>
      <c r="F46" s="1116"/>
      <c r="G46" s="1116"/>
      <c r="H46" s="1116"/>
      <c r="I46" s="1116"/>
      <c r="J46" s="843"/>
      <c r="K46" s="843"/>
      <c r="O46" s="322"/>
    </row>
    <row r="47" spans="2:15">
      <c r="B47" s="1116"/>
      <c r="C47" s="1116"/>
      <c r="D47" s="1116"/>
      <c r="E47" s="1116"/>
      <c r="F47" s="1116"/>
      <c r="G47" s="1116"/>
      <c r="H47" s="1116"/>
      <c r="I47" s="1116"/>
      <c r="J47" s="843"/>
      <c r="K47" s="843"/>
      <c r="O47" s="322"/>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c r="K48" s="843"/>
      <c r="O48" s="322"/>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s="322"/>
    </row>
    <row r="50" spans="2:15" ht="21" customHeight="1">
      <c r="B50" s="691" t="s">
        <v>960</v>
      </c>
      <c r="C50" s="691"/>
      <c r="D50" s="691"/>
      <c r="E50" s="691"/>
      <c r="F50" s="691"/>
      <c r="G50" s="691"/>
      <c r="H50" s="691"/>
      <c r="I50" s="691"/>
      <c r="J50" s="664"/>
      <c r="K50" s="853">
        <f>+J48-J49</f>
        <v>0</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1">
    <tabColor theme="2" tint="-0.249977111117893"/>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6"/>
      <c r="C1" s="1116"/>
      <c r="D1" s="1116"/>
      <c r="E1" s="1116"/>
      <c r="F1" s="1116"/>
      <c r="G1" s="1116"/>
      <c r="H1" s="1116"/>
      <c r="I1" s="1116"/>
      <c r="J1" s="1116"/>
      <c r="K1" s="1116"/>
      <c r="L1" s="1116"/>
    </row>
    <row r="2" spans="2:26" ht="20.399999999999999">
      <c r="B2" s="1789" t="str">
        <f>"RESULTS  OF  "&amp;TEXT('KEY INPUTS'!D34,"0")&amp;"  OPERATIONS  - "&amp;UPPER('KEY INPUTS'!D55)&amp;" UTILITY"</f>
        <v>RESULTS  OF  2019  OPERATIONS  -  UTILITY</v>
      </c>
      <c r="C2" s="1789"/>
      <c r="D2" s="1789"/>
      <c r="E2" s="1789"/>
      <c r="F2" s="1789"/>
      <c r="G2" s="1789"/>
      <c r="H2" s="1789"/>
      <c r="I2" s="1789"/>
      <c r="J2" s="1789"/>
      <c r="K2" s="1789"/>
      <c r="L2" s="1789"/>
    </row>
    <row r="3" spans="2:26" ht="13.8" thickBot="1">
      <c r="B3" s="1116"/>
      <c r="C3" s="1116"/>
      <c r="D3" s="1116"/>
      <c r="E3" s="1116"/>
      <c r="F3" s="1116"/>
      <c r="G3" s="1116"/>
      <c r="H3" s="1116"/>
      <c r="I3" s="1116"/>
      <c r="J3" s="1116"/>
      <c r="K3" s="1116"/>
      <c r="L3" s="1116"/>
    </row>
    <row r="4" spans="2:26" ht="21" customHeight="1" thickTop="1" thickBot="1">
      <c r="B4" s="1335"/>
      <c r="C4" s="1335"/>
      <c r="D4" s="1335"/>
      <c r="E4" s="1335"/>
      <c r="F4" s="1335"/>
      <c r="G4" s="1335"/>
      <c r="H4" s="1335"/>
      <c r="I4" s="1335"/>
      <c r="J4" s="1335"/>
      <c r="K4" s="1117" t="s">
        <v>125</v>
      </c>
      <c r="L4" s="1118" t="s">
        <v>126</v>
      </c>
    </row>
    <row r="5" spans="2:26" ht="21" customHeight="1" thickTop="1">
      <c r="B5" s="1212" t="s">
        <v>270</v>
      </c>
      <c r="C5" s="1172"/>
      <c r="D5" s="1172"/>
      <c r="E5" s="1172"/>
      <c r="F5" s="1172"/>
      <c r="G5" s="1172"/>
      <c r="H5" s="1172"/>
      <c r="I5" s="1172"/>
      <c r="J5" s="1172"/>
      <c r="K5" s="1204" t="s">
        <v>788</v>
      </c>
      <c r="L5" s="1205">
        <f>IF(+'44-Utility4'!J20&gt;0,+'44-Utility4'!J22,0)</f>
        <v>0</v>
      </c>
      <c r="N5" s="322"/>
      <c r="O5" s="322"/>
      <c r="P5" s="322"/>
      <c r="Q5" s="322"/>
      <c r="R5" s="322"/>
      <c r="S5" s="322"/>
      <c r="T5" s="322"/>
    </row>
    <row r="6" spans="2:26" ht="21" customHeight="1">
      <c r="B6" s="697" t="s">
        <v>271</v>
      </c>
      <c r="C6" s="691"/>
      <c r="D6" s="691"/>
      <c r="E6" s="691"/>
      <c r="F6" s="691"/>
      <c r="G6" s="691"/>
      <c r="H6" s="691"/>
      <c r="I6" s="691"/>
      <c r="J6" s="691"/>
      <c r="K6" s="1206" t="s">
        <v>788</v>
      </c>
      <c r="L6" s="1126">
        <f>+'44-Utility4'!J40</f>
        <v>0</v>
      </c>
      <c r="M6" s="740"/>
      <c r="N6" s="322"/>
      <c r="O6" s="322"/>
      <c r="P6" s="322"/>
      <c r="Q6" s="322"/>
      <c r="R6" s="322"/>
      <c r="S6" s="322"/>
      <c r="T6" s="322"/>
    </row>
    <row r="7" spans="2:26" ht="21" customHeight="1">
      <c r="B7" s="697" t="s">
        <v>272</v>
      </c>
      <c r="C7" s="691"/>
      <c r="D7" s="691"/>
      <c r="E7" s="691"/>
      <c r="F7" s="691"/>
      <c r="G7" s="691"/>
      <c r="H7" s="691"/>
      <c r="I7" s="691"/>
      <c r="J7" s="691"/>
      <c r="K7" s="1206" t="s">
        <v>788</v>
      </c>
      <c r="L7" s="1126">
        <f>'45-Utility4'!J17</f>
        <v>0</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691"/>
      <c r="J8" s="691"/>
      <c r="K8" s="1206" t="s">
        <v>788</v>
      </c>
      <c r="L8" s="1126">
        <f>+'45-Utility4'!K50</f>
        <v>0</v>
      </c>
      <c r="N8" s="322"/>
      <c r="O8" s="322"/>
      <c r="P8" s="322"/>
      <c r="Q8" s="322"/>
      <c r="R8" s="322"/>
      <c r="S8" s="322"/>
      <c r="T8" s="322"/>
    </row>
    <row r="9" spans="2:26" ht="21" customHeight="1">
      <c r="B9" s="706"/>
      <c r="C9" s="648"/>
      <c r="D9" s="648"/>
      <c r="E9" s="648"/>
      <c r="F9" s="648"/>
      <c r="G9" s="648"/>
      <c r="H9" s="648"/>
      <c r="I9" s="691"/>
      <c r="J9" s="691"/>
      <c r="K9" s="659"/>
      <c r="L9" s="609"/>
      <c r="N9" s="322"/>
      <c r="O9" s="322"/>
      <c r="P9" s="322"/>
      <c r="Q9" s="322"/>
      <c r="R9" s="322"/>
      <c r="S9" s="322"/>
      <c r="T9" s="322"/>
    </row>
    <row r="10" spans="2:26" ht="21" customHeight="1">
      <c r="B10" s="1116" t="s">
        <v>3443</v>
      </c>
      <c r="C10" s="1116"/>
      <c r="D10" s="1116"/>
      <c r="E10" s="1116"/>
      <c r="F10" s="1116"/>
      <c r="G10" s="1116"/>
      <c r="H10" s="1116"/>
      <c r="I10" s="1116"/>
      <c r="J10" s="1116"/>
      <c r="K10" s="1200"/>
      <c r="L10" s="1208" t="s">
        <v>788</v>
      </c>
      <c r="M10" s="399">
        <f>+L9+L8+L7+L6+L5-K11-K10-K9</f>
        <v>0</v>
      </c>
      <c r="N10" s="711" t="s">
        <v>3494</v>
      </c>
      <c r="O10" s="322"/>
      <c r="P10" s="322"/>
      <c r="Q10" s="322"/>
      <c r="R10" s="322"/>
      <c r="S10" s="322"/>
      <c r="T10" s="322"/>
      <c r="V10" s="477">
        <f>-'44-Utility4'!U22</f>
        <v>0</v>
      </c>
    </row>
    <row r="11" spans="2:26" ht="21" customHeight="1">
      <c r="B11" s="703"/>
      <c r="C11" s="1201"/>
      <c r="D11" s="648"/>
      <c r="E11" s="648"/>
      <c r="F11" s="648"/>
      <c r="G11" s="648"/>
      <c r="H11" s="648"/>
      <c r="I11" s="691"/>
      <c r="J11" s="691"/>
      <c r="K11" s="601"/>
      <c r="L11" s="1208" t="s">
        <v>788</v>
      </c>
      <c r="N11" s="322"/>
      <c r="O11" s="322"/>
      <c r="P11" s="322"/>
      <c r="Q11" s="322"/>
      <c r="R11" s="322"/>
      <c r="S11" s="322"/>
      <c r="T11" s="322"/>
      <c r="U11" s="322"/>
      <c r="V11" s="322"/>
      <c r="W11" s="322"/>
      <c r="X11" s="322"/>
      <c r="Y11" s="322"/>
      <c r="Z11" s="322"/>
    </row>
    <row r="12" spans="2:26" ht="21" customHeight="1">
      <c r="B12" s="697" t="s">
        <v>273</v>
      </c>
      <c r="C12" s="1174"/>
      <c r="D12" s="691"/>
      <c r="E12" s="691"/>
      <c r="F12" s="691"/>
      <c r="G12" s="691"/>
      <c r="H12" s="691"/>
      <c r="I12" s="691"/>
      <c r="J12" s="691"/>
      <c r="K12" s="1206" t="s">
        <v>788</v>
      </c>
      <c r="L12" s="1207">
        <f>IF(M10&gt;0,0,M10*-1)</f>
        <v>0</v>
      </c>
      <c r="N12" s="322"/>
      <c r="O12" s="322"/>
      <c r="P12" s="322"/>
      <c r="Q12" s="322"/>
      <c r="R12" s="322"/>
      <c r="S12" s="322"/>
      <c r="T12" s="322"/>
      <c r="U12" s="322"/>
      <c r="V12" s="322"/>
      <c r="W12" s="322"/>
      <c r="X12" s="322"/>
      <c r="Y12" s="322"/>
      <c r="Z12" s="322"/>
    </row>
    <row r="13" spans="2:26" ht="21" customHeight="1" thickBot="1">
      <c r="B13" s="697" t="s">
        <v>274</v>
      </c>
      <c r="C13" s="1174"/>
      <c r="D13" s="691"/>
      <c r="E13" s="691"/>
      <c r="F13" s="691"/>
      <c r="G13" s="691"/>
      <c r="H13" s="691"/>
      <c r="I13" s="691"/>
      <c r="J13" s="691"/>
      <c r="K13" s="690">
        <f>IF(M10&gt;0,M10,0)</f>
        <v>0</v>
      </c>
      <c r="L13" s="1209" t="s">
        <v>788</v>
      </c>
      <c r="M13" s="399"/>
      <c r="N13" s="322"/>
      <c r="O13" s="322"/>
      <c r="P13" s="322"/>
      <c r="Q13" s="322"/>
      <c r="R13" s="322"/>
      <c r="S13" s="322"/>
      <c r="T13" s="322"/>
      <c r="U13" s="322"/>
      <c r="V13" s="476">
        <f>U11</f>
        <v>0</v>
      </c>
      <c r="W13" s="322"/>
      <c r="X13" s="322"/>
      <c r="Y13" s="322"/>
      <c r="Z13" s="322"/>
    </row>
    <row r="14" spans="2:26" ht="21" customHeight="1" thickBot="1">
      <c r="B14" s="1211" t="s">
        <v>3442</v>
      </c>
      <c r="C14" s="1116"/>
      <c r="D14" s="1116"/>
      <c r="E14" s="1116"/>
      <c r="F14" s="1116"/>
      <c r="G14" s="1116"/>
      <c r="H14" s="1116"/>
      <c r="I14" s="1116"/>
      <c r="J14" s="1116"/>
      <c r="K14" s="1133">
        <f>SUM(K5:K13)</f>
        <v>0</v>
      </c>
      <c r="L14" s="1134">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INPUTS'!D55)&amp;" UTILITY"</f>
        <v>OPERATING  SURPLUS  -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B18" s="1116"/>
      <c r="C18" s="1116"/>
      <c r="D18" s="1116"/>
      <c r="E18" s="1116"/>
      <c r="F18" s="1116"/>
      <c r="G18" s="1116"/>
      <c r="H18" s="1116"/>
      <c r="I18" s="1116"/>
      <c r="J18" s="1116"/>
      <c r="K18" s="1116"/>
      <c r="L18" s="1116"/>
      <c r="N18" s="322"/>
      <c r="O18" s="322"/>
      <c r="P18" s="322"/>
      <c r="Q18" s="322"/>
      <c r="R18" s="322"/>
      <c r="S18" s="322"/>
      <c r="T18" s="322"/>
    </row>
    <row r="19" spans="2:20" ht="25.5" customHeight="1" thickTop="1" thickBot="1">
      <c r="B19" s="1335"/>
      <c r="C19" s="1335"/>
      <c r="D19" s="1335"/>
      <c r="E19" s="1335"/>
      <c r="F19" s="1335"/>
      <c r="G19" s="1335"/>
      <c r="H19" s="1335"/>
      <c r="I19" s="1335"/>
      <c r="J19" s="133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337" t="s">
        <v>788</v>
      </c>
      <c r="L20" s="926"/>
      <c r="N20" s="322"/>
      <c r="O20" s="322"/>
      <c r="P20" s="322"/>
      <c r="Q20" s="322"/>
      <c r="R20" s="322"/>
      <c r="S20" s="322"/>
      <c r="T20" s="322"/>
    </row>
    <row r="21" spans="2:20" ht="21" customHeight="1">
      <c r="B21" s="1202"/>
      <c r="C21" s="648"/>
      <c r="D21" s="648"/>
      <c r="E21" s="648"/>
      <c r="F21" s="648"/>
      <c r="G21" s="648"/>
      <c r="H21" s="648"/>
      <c r="I21" s="648"/>
      <c r="J21" s="648"/>
      <c r="K21" s="1200"/>
      <c r="L21" s="924"/>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338" t="s">
        <v>788</v>
      </c>
      <c r="L22" s="1339">
        <f>+K13</f>
        <v>0</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1340">
        <f>'44-Utility4'!I7</f>
        <v>0</v>
      </c>
      <c r="L23" s="1341"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926"/>
      <c r="L24" s="1924" t="s">
        <v>788</v>
      </c>
    </row>
    <row r="25" spans="2:20" ht="12.75" customHeight="1">
      <c r="B25" s="1130" t="s">
        <v>1066</v>
      </c>
      <c r="C25" s="1130"/>
      <c r="D25" s="1130"/>
      <c r="E25" s="1130"/>
      <c r="F25" s="1130"/>
      <c r="G25" s="1130"/>
      <c r="H25" s="1130"/>
      <c r="I25" s="1130"/>
      <c r="J25" s="1130"/>
      <c r="K25" s="1927"/>
      <c r="L25" s="1925"/>
    </row>
    <row r="26" spans="2:20" ht="21" customHeight="1">
      <c r="B26" s="1202"/>
      <c r="C26" s="648"/>
      <c r="D26" s="648"/>
      <c r="E26" s="648"/>
      <c r="F26" s="648"/>
      <c r="G26" s="648"/>
      <c r="H26" s="648"/>
      <c r="I26" s="648"/>
      <c r="J26" s="648"/>
      <c r="K26" s="925"/>
      <c r="L26" s="1203"/>
    </row>
    <row r="27" spans="2:20" ht="21" customHeight="1" thickBot="1">
      <c r="B27" s="691" t="str">
        <f>'KEY INPUTS'!D26</f>
        <v>Balance - December 31, 2019</v>
      </c>
      <c r="C27" s="691"/>
      <c r="D27" s="691"/>
      <c r="E27" s="691"/>
      <c r="F27" s="691"/>
      <c r="G27" s="691"/>
      <c r="H27" s="691"/>
      <c r="I27" s="691"/>
      <c r="J27" s="691"/>
      <c r="K27" s="1342">
        <f>+SUM(L20:L26)-SUM(K21:K26)</f>
        <v>0</v>
      </c>
      <c r="L27" s="1343" t="s">
        <v>788</v>
      </c>
      <c r="N27" s="778" t="s">
        <v>3530</v>
      </c>
    </row>
    <row r="28" spans="2:20" ht="21" customHeight="1" thickBot="1">
      <c r="B28" s="1116"/>
      <c r="C28" s="1116"/>
      <c r="D28" s="1116"/>
      <c r="E28" s="1116"/>
      <c r="F28" s="1116"/>
      <c r="G28" s="1116"/>
      <c r="H28" s="1116"/>
      <c r="I28" s="1116"/>
      <c r="J28" s="1116"/>
      <c r="K28" s="1133">
        <f>SUM(K21:K27)</f>
        <v>0</v>
      </c>
      <c r="L28" s="1134">
        <f>SUM(L20:L27)</f>
        <v>0</v>
      </c>
    </row>
    <row r="29" spans="2:20" ht="13.8" thickTop="1"/>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6" t="str">
        <f>"(FROM "&amp;UPPER('KEY INPUTS'!D55)&amp;" UTILITY  -  TRIAL  BALANCE)"</f>
        <v>(FROM  UTILITY  -  TRIAL  BALANCE)</v>
      </c>
      <c r="C33" s="1806"/>
      <c r="D33" s="1806"/>
      <c r="E33" s="1806"/>
      <c r="F33" s="1806"/>
      <c r="G33" s="1806"/>
      <c r="H33" s="1806"/>
      <c r="I33" s="1806"/>
      <c r="J33" s="1806"/>
      <c r="K33" s="1806"/>
      <c r="L33" s="1806"/>
    </row>
    <row r="34" spans="2:14" ht="13.8" thickBot="1">
      <c r="B34" s="1116"/>
      <c r="C34" s="1116"/>
      <c r="D34" s="1116"/>
      <c r="E34" s="1116"/>
      <c r="F34" s="1116"/>
      <c r="G34" s="1116"/>
      <c r="H34" s="1116"/>
      <c r="I34" s="1116"/>
      <c r="J34" s="1116"/>
      <c r="K34" s="1116"/>
      <c r="L34" s="1116"/>
    </row>
    <row r="35" spans="2:14" ht="21" customHeight="1" thickTop="1">
      <c r="B35" s="1172" t="s">
        <v>253</v>
      </c>
      <c r="C35" s="1172"/>
      <c r="D35" s="1172"/>
      <c r="E35" s="1172"/>
      <c r="F35" s="1172"/>
      <c r="G35" s="1172"/>
      <c r="H35" s="1172"/>
      <c r="I35" s="1172"/>
      <c r="J35" s="1172"/>
      <c r="K35" s="1216"/>
      <c r="L35" s="1215">
        <f>+'41-Utility4'!G13</f>
        <v>0</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0</v>
      </c>
    </row>
    <row r="39" spans="2:14" ht="21" customHeight="1" thickBot="1">
      <c r="B39" s="691" t="s">
        <v>470</v>
      </c>
      <c r="C39" s="691"/>
      <c r="D39" s="691"/>
      <c r="E39" s="691"/>
      <c r="F39" s="691"/>
      <c r="G39" s="691"/>
      <c r="H39" s="691"/>
      <c r="I39" s="691"/>
      <c r="J39" s="691"/>
      <c r="K39" s="1217"/>
      <c r="L39" s="1219">
        <f>+'41-Utility4'!H39</f>
        <v>0</v>
      </c>
    </row>
    <row r="40" spans="2:14" ht="21" customHeight="1" thickTop="1">
      <c r="B40" s="691"/>
      <c r="C40" s="691"/>
      <c r="D40" s="691" t="s">
        <v>268</v>
      </c>
      <c r="E40" s="691"/>
      <c r="F40" s="691"/>
      <c r="G40" s="691"/>
      <c r="H40" s="691"/>
      <c r="I40" s="691"/>
      <c r="J40" s="691"/>
      <c r="K40" s="1217"/>
      <c r="L40" s="1218">
        <f>+L38-L39</f>
        <v>0</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0</v>
      </c>
    </row>
    <row r="45" spans="2:14" ht="21" customHeight="1" thickBot="1">
      <c r="B45" s="1222" t="str">
        <f>"# MAY NOT BE ANTICIPATED AS NON-CASH SURPLUS IN "&amp;TEXT('KEY INPUTS'!D34,"0")&amp;" BUDGET."</f>
        <v># MAY NOT BE ANTICIPATED AS NON-CASH SURPLUS IN 2019 BUDGET.</v>
      </c>
      <c r="C45" s="1116"/>
      <c r="D45" s="1116"/>
      <c r="E45" s="1116"/>
      <c r="F45" s="1116"/>
      <c r="G45" s="1116"/>
      <c r="H45" s="1116"/>
      <c r="I45" s="1116"/>
      <c r="J45" s="1116"/>
      <c r="K45" s="1223"/>
      <c r="L45" s="1220">
        <f>+L40+L44</f>
        <v>0</v>
      </c>
      <c r="M45" s="399"/>
      <c r="N45" s="778" t="s">
        <v>3530</v>
      </c>
    </row>
    <row r="46" spans="2:14" ht="13.8" thickTop="1">
      <c r="B46" s="470" t="s">
        <v>275</v>
      </c>
      <c r="C46" s="470"/>
    </row>
    <row r="47" spans="2:14">
      <c r="B47" s="470"/>
      <c r="C47" s="470" t="s">
        <v>3441</v>
      </c>
    </row>
    <row r="52" spans="2:12" ht="13.8">
      <c r="B52" s="1766" t="s">
        <v>3440</v>
      </c>
      <c r="C52" s="1766"/>
      <c r="D52" s="1766"/>
      <c r="E52" s="1766"/>
      <c r="F52" s="1766"/>
      <c r="G52" s="1766"/>
      <c r="H52" s="1766"/>
      <c r="I52" s="1766"/>
      <c r="J52" s="1766"/>
      <c r="K52" s="1766"/>
      <c r="L52" s="176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2">
    <tabColor theme="2" tint="-0.249977111117893"/>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INPUTS'!D55&amp;"  UTILITY  ACCOUNTS  RECEIVABLE")</f>
        <v>SCHEDULE  OF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4" t="s">
        <v>3785</v>
      </c>
      <c r="E11" s="1194"/>
      <c r="F11" s="1194"/>
      <c r="G11" s="1116"/>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9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INPUTS'!D55)&amp;" UTILITY  LIENS"</f>
        <v>SCHEDULE  OF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zzLE4P8KIH9BD9jn6jqaa2cFOtB2yCpfOfzuLWrMjriejih9zmjV0kmhDRQmtxyf9KBF3pauLzWXDk4uIT44Xw==" saltValue="YL463R7Fulmeydv/Uhloj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3">
    <tabColor theme="2" tint="-0.249977111117893"/>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8"/>
      <c r="C1" s="1148"/>
      <c r="D1" s="1148"/>
      <c r="E1" s="1148"/>
      <c r="F1" s="1148"/>
      <c r="G1" s="1148"/>
      <c r="H1" s="1148"/>
      <c r="I1" s="1148"/>
      <c r="J1" s="1148"/>
      <c r="K1" s="1148"/>
      <c r="L1" s="1148"/>
      <c r="M1" s="1148"/>
      <c r="N1" s="1148"/>
    </row>
    <row r="2" spans="2:23">
      <c r="B2" s="1148"/>
      <c r="C2" s="1148"/>
      <c r="D2" s="1148"/>
      <c r="E2" s="1148"/>
      <c r="F2" s="1148"/>
      <c r="G2" s="1148"/>
      <c r="H2" s="1148"/>
      <c r="I2" s="1148"/>
      <c r="J2" s="1148"/>
      <c r="K2" s="1148"/>
      <c r="L2" s="1148"/>
      <c r="M2" s="1148"/>
      <c r="N2" s="1148"/>
    </row>
    <row r="3" spans="2:23" ht="20.399999999999999">
      <c r="B3" s="1871" t="s">
        <v>1130</v>
      </c>
      <c r="C3" s="1871"/>
      <c r="D3" s="1871"/>
      <c r="E3" s="1871"/>
      <c r="F3" s="1871"/>
      <c r="G3" s="1871"/>
      <c r="H3" s="1871"/>
      <c r="I3" s="1871"/>
      <c r="J3" s="1871"/>
      <c r="K3" s="1871"/>
      <c r="L3" s="1871"/>
      <c r="M3" s="1871"/>
      <c r="N3" s="1871"/>
    </row>
    <row r="4" spans="2:23" ht="15.6">
      <c r="B4" s="1929" t="s">
        <v>540</v>
      </c>
      <c r="C4" s="1929"/>
      <c r="D4" s="1929"/>
      <c r="E4" s="1929"/>
      <c r="F4" s="1929"/>
      <c r="G4" s="1929"/>
      <c r="H4" s="1929"/>
      <c r="I4" s="1929"/>
      <c r="J4" s="1929"/>
      <c r="K4" s="1929"/>
      <c r="L4" s="1929"/>
      <c r="M4" s="1929"/>
      <c r="N4" s="1929"/>
    </row>
    <row r="5" spans="2:23" ht="20.399999999999999">
      <c r="B5" s="1789" t="str">
        <f>UPPER('KEY INPUTS'!D55)&amp;" UTILITY  FUND"</f>
        <v xml:space="preserve"> UTILITY  FUND</v>
      </c>
      <c r="C5" s="1789"/>
      <c r="D5" s="1789"/>
      <c r="E5" s="1789"/>
      <c r="F5" s="1789"/>
      <c r="G5" s="1789"/>
      <c r="H5" s="1789"/>
      <c r="I5" s="1789"/>
      <c r="J5" s="1789"/>
      <c r="K5" s="1789"/>
      <c r="L5" s="1789"/>
      <c r="M5" s="1789"/>
      <c r="N5" s="1789"/>
    </row>
    <row r="6" spans="2:23">
      <c r="B6" s="1930" t="s">
        <v>283</v>
      </c>
      <c r="C6" s="1930"/>
      <c r="D6" s="1930"/>
      <c r="E6" s="1930"/>
      <c r="F6" s="1930"/>
      <c r="G6" s="1930"/>
      <c r="H6" s="1930"/>
      <c r="I6" s="1930"/>
      <c r="J6" s="1930"/>
      <c r="K6" s="1930"/>
      <c r="L6" s="1930"/>
      <c r="M6" s="1930"/>
      <c r="N6" s="1930"/>
    </row>
    <row r="7" spans="2:23">
      <c r="B7" s="1148"/>
      <c r="C7" s="1148"/>
      <c r="D7" s="1148"/>
      <c r="E7" s="1148"/>
      <c r="F7" s="1148"/>
      <c r="G7" s="1148"/>
      <c r="H7" s="1148"/>
      <c r="I7" s="1148"/>
      <c r="J7" s="1148"/>
      <c r="K7" s="1148"/>
      <c r="L7" s="1148"/>
      <c r="M7" s="1148"/>
      <c r="N7" s="1148"/>
    </row>
    <row r="8" spans="2:23">
      <c r="B8" s="1148"/>
      <c r="C8" s="1148"/>
      <c r="D8" s="1148"/>
      <c r="E8" s="1148"/>
      <c r="F8" s="1148"/>
      <c r="G8" s="1148"/>
      <c r="H8" s="1143" t="s">
        <v>533</v>
      </c>
      <c r="I8" s="1148"/>
      <c r="J8" s="1148"/>
      <c r="K8" s="1148"/>
      <c r="L8" s="1148"/>
      <c r="M8" s="1148"/>
      <c r="N8" s="1148"/>
    </row>
    <row r="9" spans="2:23">
      <c r="B9" s="1148"/>
      <c r="C9" s="1931" t="s">
        <v>553</v>
      </c>
      <c r="D9" s="1931"/>
      <c r="E9" s="1931"/>
      <c r="F9" s="1148"/>
      <c r="G9" s="1148"/>
      <c r="H9" s="1346" t="str">
        <f>'KEY INPUTS'!D45</f>
        <v>Dec. 31, 2018</v>
      </c>
      <c r="I9" s="1148"/>
      <c r="J9" s="1143" t="s">
        <v>554</v>
      </c>
      <c r="K9" s="1148"/>
      <c r="L9" s="1143" t="s">
        <v>533</v>
      </c>
      <c r="M9" s="1148"/>
      <c r="N9" s="1143" t="s">
        <v>672</v>
      </c>
    </row>
    <row r="10" spans="2:23">
      <c r="B10" s="1148"/>
      <c r="C10" s="1148"/>
      <c r="D10" s="1148"/>
      <c r="E10" s="1148"/>
      <c r="F10" s="1148"/>
      <c r="G10" s="1148"/>
      <c r="H10" s="1143" t="s">
        <v>552</v>
      </c>
      <c r="I10" s="1148"/>
      <c r="J10" s="1143">
        <f>'KEY INPUTS'!D34</f>
        <v>2019</v>
      </c>
      <c r="K10" s="1148"/>
      <c r="L10" s="1143" t="s">
        <v>555</v>
      </c>
      <c r="M10" s="1148"/>
      <c r="N10" s="1143" t="s">
        <v>556</v>
      </c>
    </row>
    <row r="11" spans="2:23">
      <c r="B11" s="1148"/>
      <c r="C11" s="1148"/>
      <c r="D11" s="1148"/>
      <c r="E11" s="1148"/>
      <c r="F11" s="1148"/>
      <c r="G11" s="1148"/>
      <c r="H11" s="1347" t="s">
        <v>551</v>
      </c>
      <c r="I11" s="1148"/>
      <c r="J11" s="1347" t="s">
        <v>677</v>
      </c>
      <c r="K11" s="1148"/>
      <c r="L11" s="1347">
        <f>'KEY INPUTS'!D34</f>
        <v>2019</v>
      </c>
      <c r="M11" s="1148"/>
      <c r="N11" s="1348" t="str">
        <f>'KEY INPUTS'!D46</f>
        <v>Dec. 31, 2019</v>
      </c>
      <c r="Q11" s="322"/>
      <c r="R11" s="322"/>
      <c r="S11" s="322"/>
      <c r="T11" s="322"/>
      <c r="U11" s="322"/>
      <c r="V11" s="322"/>
      <c r="W11" s="322"/>
    </row>
    <row r="12" spans="2:23">
      <c r="B12" s="1349" t="s">
        <v>384</v>
      </c>
      <c r="C12" s="1148" t="s">
        <v>1131</v>
      </c>
      <c r="D12" s="1148"/>
      <c r="E12" s="1148"/>
      <c r="F12" s="1148"/>
      <c r="G12" s="1148"/>
      <c r="H12" s="1148"/>
      <c r="I12" s="1148"/>
      <c r="J12" s="1148"/>
      <c r="K12" s="1148"/>
      <c r="L12" s="1148"/>
      <c r="M12" s="1148"/>
      <c r="N12" s="1148"/>
      <c r="Q12" s="322"/>
      <c r="R12" s="322"/>
      <c r="S12" s="322"/>
      <c r="T12" s="322"/>
      <c r="U12" s="322"/>
      <c r="V12" s="322"/>
      <c r="W12" s="322"/>
    </row>
    <row r="13" spans="2:23">
      <c r="B13" s="1349"/>
      <c r="C13" s="1148"/>
      <c r="D13" s="1148" t="s">
        <v>1132</v>
      </c>
      <c r="E13" s="1148"/>
      <c r="F13" s="1148"/>
      <c r="G13" s="331" t="s">
        <v>482</v>
      </c>
      <c r="H13" s="580"/>
      <c r="I13" s="331" t="s">
        <v>482</v>
      </c>
      <c r="J13" s="580"/>
      <c r="K13" s="331" t="s">
        <v>482</v>
      </c>
      <c r="L13" s="580"/>
      <c r="M13" s="331" t="s">
        <v>482</v>
      </c>
      <c r="N13" s="671">
        <f>+H13-J13+L13</f>
        <v>0</v>
      </c>
      <c r="Q13" s="377"/>
      <c r="R13" s="322"/>
      <c r="S13" s="322"/>
      <c r="T13" s="322"/>
      <c r="U13" s="322"/>
      <c r="V13" s="322"/>
      <c r="W13" s="322"/>
    </row>
    <row r="14" spans="2:23">
      <c r="B14" s="1349"/>
      <c r="C14" s="1148"/>
      <c r="D14" s="1148"/>
      <c r="E14" s="1148"/>
      <c r="F14" s="1148"/>
      <c r="H14" s="287"/>
      <c r="J14" s="287"/>
      <c r="L14" s="287"/>
      <c r="N14" s="1148"/>
      <c r="Q14" s="322"/>
      <c r="R14" s="322"/>
      <c r="S14" s="322"/>
      <c r="T14" s="322"/>
      <c r="U14" s="322"/>
      <c r="V14" s="322"/>
      <c r="W14" s="322"/>
    </row>
    <row r="15" spans="2:23" ht="21" customHeight="1">
      <c r="B15" s="481" t="s">
        <v>385</v>
      </c>
      <c r="C15" s="670" t="s">
        <v>3408</v>
      </c>
      <c r="D15" s="669"/>
      <c r="E15" s="669"/>
      <c r="F15" s="669"/>
      <c r="G15" s="331" t="s">
        <v>482</v>
      </c>
      <c r="H15" s="580"/>
      <c r="I15" s="331" t="s">
        <v>482</v>
      </c>
      <c r="J15" s="580"/>
      <c r="K15" s="331" t="s">
        <v>482</v>
      </c>
      <c r="L15" s="580"/>
      <c r="M15" s="331" t="s">
        <v>482</v>
      </c>
      <c r="N15" s="1226">
        <f>+H15-J15+L15</f>
        <v>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229" t="s">
        <v>3492</v>
      </c>
      <c r="D20" s="1130"/>
      <c r="E20" s="1228"/>
      <c r="F20" s="1228"/>
      <c r="G20" s="741" t="s">
        <v>482</v>
      </c>
      <c r="H20" s="1227">
        <f>H13+H15+H16+H17+H18+H19</f>
        <v>0</v>
      </c>
      <c r="I20" s="1138" t="s">
        <v>482</v>
      </c>
      <c r="J20" s="1227">
        <f>J13+J15+J16+J17+J18+J19</f>
        <v>0</v>
      </c>
      <c r="K20" s="1138" t="s">
        <v>482</v>
      </c>
      <c r="L20" s="1227">
        <f>L13+L15+L16+L17+L18+L19</f>
        <v>0</v>
      </c>
      <c r="M20" s="331" t="s">
        <v>482</v>
      </c>
      <c r="N20" s="1227">
        <f>N13+N15+N16+N17+N18+N19</f>
        <v>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1138" t="s">
        <v>482</v>
      </c>
      <c r="H23" s="1227">
        <f>H21+H22</f>
        <v>0</v>
      </c>
      <c r="I23" s="1138" t="s">
        <v>482</v>
      </c>
      <c r="J23" s="1227">
        <f>J21+J22</f>
        <v>0</v>
      </c>
      <c r="K23" s="1138" t="s">
        <v>482</v>
      </c>
      <c r="L23" s="1227">
        <f>L21+L22</f>
        <v>0</v>
      </c>
      <c r="M23" s="1148" t="s">
        <v>482</v>
      </c>
      <c r="N23" s="1226">
        <f t="shared" si="0"/>
        <v>0</v>
      </c>
      <c r="Q23" s="322"/>
      <c r="R23" s="322"/>
      <c r="S23" s="322"/>
      <c r="T23" s="322"/>
      <c r="U23" s="322"/>
      <c r="V23" s="322"/>
      <c r="W23" s="322"/>
    </row>
    <row r="24" spans="2:23">
      <c r="B24" s="481"/>
      <c r="C24" s="1148"/>
      <c r="D24" s="1148"/>
      <c r="E24" s="1148"/>
      <c r="F24" s="1148"/>
      <c r="G24" s="1148"/>
      <c r="H24" s="1148"/>
      <c r="I24" s="1148"/>
      <c r="J24" s="1148"/>
      <c r="K24" s="1148"/>
      <c r="L24" s="1148"/>
      <c r="M24" s="1148"/>
      <c r="N24" s="1148"/>
      <c r="Q24" s="322"/>
      <c r="R24" s="322"/>
      <c r="S24" s="322"/>
      <c r="T24" s="322"/>
      <c r="U24" s="322"/>
      <c r="V24" s="322"/>
      <c r="W24" s="322"/>
    </row>
    <row r="25" spans="2:23">
      <c r="B25" s="481"/>
      <c r="C25" s="1148" t="s">
        <v>1134</v>
      </c>
      <c r="D25" s="1148"/>
      <c r="E25" s="1148"/>
      <c r="F25" s="1148"/>
      <c r="G25" s="1148"/>
      <c r="H25" s="1148"/>
      <c r="I25" s="1148"/>
      <c r="J25" s="1148"/>
      <c r="K25" s="1148"/>
      <c r="L25" s="1148"/>
      <c r="M25" s="1148"/>
      <c r="N25" s="1148"/>
      <c r="Q25" s="322"/>
      <c r="R25" s="322"/>
      <c r="S25" s="322"/>
      <c r="T25" s="322"/>
      <c r="U25" s="322"/>
      <c r="V25" s="322"/>
      <c r="W25" s="322"/>
    </row>
    <row r="26" spans="2:23">
      <c r="B26" s="1349"/>
      <c r="C26" s="1148"/>
      <c r="D26" s="1148"/>
      <c r="E26" s="1148"/>
      <c r="F26" s="1148"/>
      <c r="G26" s="1148"/>
      <c r="H26" s="1148"/>
      <c r="I26" s="1148"/>
      <c r="J26" s="1148"/>
      <c r="K26" s="1148"/>
      <c r="L26" s="1148"/>
      <c r="M26" s="1148"/>
      <c r="N26" s="1148"/>
      <c r="Q26" s="322"/>
      <c r="R26" s="322"/>
      <c r="S26" s="322"/>
      <c r="T26" s="322"/>
      <c r="U26" s="322"/>
      <c r="V26" s="322"/>
      <c r="W26" s="322"/>
    </row>
    <row r="27" spans="2:23">
      <c r="B27" s="1349"/>
      <c r="C27" s="1148"/>
      <c r="D27" s="1148"/>
      <c r="E27" s="1148"/>
      <c r="F27" s="1148"/>
      <c r="G27" s="1148"/>
      <c r="H27" s="1148"/>
      <c r="I27" s="1148"/>
      <c r="J27" s="1148"/>
      <c r="K27" s="1148"/>
      <c r="L27" s="1148"/>
      <c r="M27" s="1148"/>
      <c r="N27" s="1148"/>
      <c r="Q27" s="322"/>
      <c r="R27" s="322"/>
      <c r="S27" s="322"/>
      <c r="T27" s="322"/>
      <c r="U27" s="322"/>
      <c r="V27" s="322"/>
      <c r="W27" s="322"/>
    </row>
    <row r="28" spans="2:23" ht="15.6">
      <c r="B28" s="1928" t="s">
        <v>530</v>
      </c>
      <c r="C28" s="1928"/>
      <c r="D28" s="1928"/>
      <c r="E28" s="1928"/>
      <c r="F28" s="1928"/>
      <c r="G28" s="1928"/>
      <c r="H28" s="1928"/>
      <c r="I28" s="1928"/>
      <c r="J28" s="1928"/>
      <c r="K28" s="1928"/>
      <c r="L28" s="1928"/>
      <c r="M28" s="1928"/>
      <c r="N28" s="1928"/>
    </row>
    <row r="29" spans="2:23" ht="15.6">
      <c r="B29" s="1928" t="s">
        <v>531</v>
      </c>
      <c r="C29" s="1928"/>
      <c r="D29" s="1928"/>
      <c r="E29" s="1928"/>
      <c r="F29" s="1928"/>
      <c r="G29" s="1928"/>
      <c r="H29" s="1928"/>
      <c r="I29" s="1928"/>
      <c r="J29" s="1928"/>
      <c r="K29" s="1928"/>
      <c r="L29" s="1928"/>
      <c r="M29" s="1928"/>
      <c r="N29" s="1928"/>
    </row>
    <row r="30" spans="2:23" ht="6.75" customHeight="1">
      <c r="B30" s="1351"/>
      <c r="C30" s="1351"/>
      <c r="D30" s="1351"/>
      <c r="E30" s="1351"/>
      <c r="F30" s="1351"/>
      <c r="G30" s="1351"/>
      <c r="H30" s="1351"/>
      <c r="I30" s="1351"/>
      <c r="J30" s="1351"/>
      <c r="K30" s="1351"/>
      <c r="L30" s="1351"/>
      <c r="M30" s="1351"/>
      <c r="N30" s="1351"/>
    </row>
    <row r="31" spans="2:23" ht="18" customHeight="1">
      <c r="B31" s="1349"/>
      <c r="C31" s="1148"/>
      <c r="D31" s="1932" t="s">
        <v>18</v>
      </c>
      <c r="E31" s="1932"/>
      <c r="F31" s="1352"/>
      <c r="G31" s="1932" t="s">
        <v>532</v>
      </c>
      <c r="H31" s="1932"/>
      <c r="I31" s="1932"/>
      <c r="J31" s="1932"/>
      <c r="K31" s="1932"/>
      <c r="L31" s="1932"/>
      <c r="M31" s="1352"/>
      <c r="N31" s="135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1349"/>
      <c r="C37" s="1148"/>
      <c r="D37" s="1148"/>
      <c r="E37" s="1148"/>
      <c r="F37" s="1148"/>
      <c r="G37" s="1148"/>
      <c r="H37" s="1148"/>
      <c r="I37" s="1148"/>
      <c r="J37" s="1148"/>
      <c r="K37" s="1148"/>
      <c r="L37" s="1148"/>
      <c r="M37" s="1148"/>
      <c r="N37" s="1148"/>
    </row>
    <row r="38" spans="2:14">
      <c r="B38" s="1349"/>
      <c r="C38" s="1148"/>
      <c r="D38" s="1148"/>
      <c r="E38" s="1148"/>
      <c r="F38" s="1148"/>
      <c r="G38" s="1148"/>
      <c r="H38" s="1148"/>
      <c r="I38" s="1148"/>
      <c r="J38" s="1148"/>
      <c r="K38" s="1148"/>
      <c r="L38" s="1148"/>
      <c r="M38" s="1148"/>
      <c r="N38" s="1148"/>
    </row>
    <row r="39" spans="2:14">
      <c r="B39" s="1349"/>
      <c r="C39" s="1148"/>
      <c r="D39" s="1148"/>
      <c r="E39" s="1148"/>
      <c r="F39" s="1148"/>
      <c r="G39" s="1148"/>
      <c r="H39" s="1148"/>
      <c r="I39" s="1148"/>
      <c r="J39" s="1148"/>
      <c r="K39" s="1148"/>
      <c r="L39" s="1148"/>
      <c r="M39" s="1148"/>
      <c r="N39" s="1148"/>
    </row>
    <row r="40" spans="2:14" ht="15.6">
      <c r="B40" s="1928" t="s">
        <v>322</v>
      </c>
      <c r="C40" s="1928"/>
      <c r="D40" s="1928"/>
      <c r="E40" s="1928"/>
      <c r="F40" s="1928"/>
      <c r="G40" s="1928"/>
      <c r="H40" s="1928"/>
      <c r="I40" s="1928"/>
      <c r="J40" s="1928"/>
      <c r="K40" s="1928"/>
      <c r="L40" s="1928"/>
      <c r="M40" s="1928"/>
      <c r="N40" s="1928"/>
    </row>
    <row r="41" spans="2:14">
      <c r="B41" s="1349"/>
      <c r="C41" s="1148"/>
      <c r="D41" s="1148"/>
      <c r="E41" s="1148"/>
      <c r="F41" s="1148"/>
      <c r="G41" s="1148"/>
      <c r="H41" s="1148"/>
      <c r="I41" s="1148"/>
      <c r="J41" s="1148"/>
      <c r="K41" s="1148"/>
      <c r="L41" s="1148"/>
      <c r="M41" s="1148"/>
      <c r="N41" s="1148"/>
    </row>
    <row r="42" spans="2:14">
      <c r="B42" s="1349"/>
      <c r="C42" s="1148"/>
      <c r="D42" s="1148"/>
      <c r="E42" s="1148"/>
      <c r="F42" s="1148"/>
      <c r="G42" s="1148"/>
      <c r="H42" s="1148"/>
      <c r="I42" s="1148"/>
      <c r="J42" s="1148"/>
      <c r="K42" s="1148"/>
      <c r="L42" s="1148"/>
      <c r="M42" s="1148"/>
      <c r="N42" s="1143" t="s">
        <v>538</v>
      </c>
    </row>
    <row r="43" spans="2:14">
      <c r="B43" s="1349"/>
      <c r="C43" s="1148"/>
      <c r="D43" s="1148"/>
      <c r="E43" s="1148"/>
      <c r="F43" s="1148"/>
      <c r="G43" s="1148"/>
      <c r="H43" s="1148"/>
      <c r="I43" s="1148"/>
      <c r="J43" s="1148"/>
      <c r="K43" s="1148"/>
      <c r="L43" s="1148"/>
      <c r="M43" s="1148"/>
      <c r="N43" s="1143" t="s">
        <v>539</v>
      </c>
    </row>
    <row r="44" spans="2:14">
      <c r="B44" s="1349"/>
      <c r="C44" s="1148"/>
      <c r="D44" s="1931" t="s">
        <v>535</v>
      </c>
      <c r="E44" s="1931"/>
      <c r="F44" s="1148"/>
      <c r="G44" s="1148"/>
      <c r="H44" s="1931" t="s">
        <v>536</v>
      </c>
      <c r="I44" s="1931"/>
      <c r="J44" s="1347" t="s">
        <v>537</v>
      </c>
      <c r="K44" s="1148"/>
      <c r="L44" s="1347" t="s">
        <v>533</v>
      </c>
      <c r="M44" s="1148"/>
      <c r="N44" s="1347" t="str">
        <f>"Year "&amp;TEXT('KEY INPUTS'!D34,"0")&amp;""</f>
        <v>Year 2019</v>
      </c>
    </row>
    <row r="45" spans="2:14">
      <c r="B45" s="1349"/>
      <c r="C45" s="1148"/>
      <c r="D45" s="1148"/>
      <c r="E45" s="1148"/>
      <c r="F45" s="1148"/>
      <c r="G45" s="1148"/>
      <c r="H45" s="1148"/>
      <c r="I45" s="1148"/>
      <c r="J45" s="1148"/>
      <c r="K45" s="1148"/>
      <c r="L45" s="1148"/>
      <c r="M45" s="1148"/>
      <c r="N45" s="114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GdK98x2gXto03YmYRt2Lo5fYiTJfObmTtVjWnXH6gXaDKjAn2AaSfbVvN/tiH3MO6W7gTNJ/H0r6TxA3nJkOQg==" saltValue="9K4ZpFJBe5tH81307bD7P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4">
    <tabColor theme="2" tint="-0.249977111117893"/>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INPUTS'!D55)&amp;" UTILITY  ASSESSMENT  BONDS"</f>
        <v xml:space="preserve"> UTILITY  ASSESSMENT  BONDS</v>
      </c>
      <c r="C4" s="1762"/>
      <c r="D4" s="1762"/>
      <c r="E4" s="1762"/>
      <c r="F4" s="1762"/>
      <c r="G4" s="1762"/>
      <c r="H4" s="1762"/>
      <c r="I4" s="1762"/>
      <c r="J4" s="1762"/>
      <c r="K4" s="1762"/>
      <c r="L4" s="1762"/>
    </row>
    <row r="5" spans="2:21" ht="9.75" customHeight="1" thickBot="1">
      <c r="B5" s="1381"/>
      <c r="C5" s="1381"/>
      <c r="D5" s="1381"/>
      <c r="E5" s="1381"/>
      <c r="F5" s="1381"/>
      <c r="G5" s="1381"/>
      <c r="H5" s="1381"/>
      <c r="I5" s="1381"/>
      <c r="J5" s="1381"/>
      <c r="K5" s="1381"/>
      <c r="L5" s="1381"/>
    </row>
    <row r="6" spans="2:21" ht="27.75" customHeight="1" thickTop="1" thickBot="1">
      <c r="B6" s="1335"/>
      <c r="C6" s="1335"/>
      <c r="D6" s="1335"/>
      <c r="E6" s="1335"/>
      <c r="F6" s="1335"/>
      <c r="G6" s="1117" t="s">
        <v>125</v>
      </c>
      <c r="H6" s="1933" t="s">
        <v>126</v>
      </c>
      <c r="I6" s="1764"/>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72"/>
      <c r="D7" s="1172"/>
      <c r="E7" s="1172"/>
      <c r="F7" s="1172"/>
      <c r="G7" s="1173" t="s">
        <v>788</v>
      </c>
      <c r="H7" s="1706"/>
      <c r="I7" s="1707"/>
      <c r="K7" s="1116"/>
      <c r="L7" s="1116"/>
      <c r="O7" s="322"/>
      <c r="P7" s="322"/>
      <c r="Q7" s="322"/>
      <c r="R7" s="322"/>
      <c r="S7" s="322"/>
      <c r="T7" s="322"/>
      <c r="U7" s="322"/>
    </row>
    <row r="8" spans="2:21" ht="21" customHeight="1">
      <c r="B8" s="691" t="s">
        <v>113</v>
      </c>
      <c r="C8" s="691"/>
      <c r="D8" s="691"/>
      <c r="E8" s="691"/>
      <c r="F8" s="691"/>
      <c r="G8" s="1176" t="s">
        <v>788</v>
      </c>
      <c r="H8" s="1680"/>
      <c r="I8" s="1681"/>
      <c r="K8" s="1116"/>
      <c r="L8" s="1116"/>
      <c r="O8" s="377"/>
      <c r="P8" s="322"/>
      <c r="Q8" s="322"/>
      <c r="R8" s="322"/>
      <c r="S8" s="322"/>
      <c r="T8" s="322"/>
      <c r="U8" s="322"/>
    </row>
    <row r="9" spans="2:21" ht="21" customHeight="1">
      <c r="B9" s="691"/>
      <c r="C9" s="691"/>
      <c r="D9" s="691"/>
      <c r="E9" s="691"/>
      <c r="F9" s="691"/>
      <c r="G9" s="1176"/>
      <c r="H9" s="1382"/>
      <c r="I9" s="1231"/>
      <c r="K9" s="1116"/>
      <c r="L9" s="1116"/>
      <c r="O9" s="322"/>
      <c r="P9" s="322"/>
      <c r="Q9" s="322"/>
      <c r="R9" s="322"/>
      <c r="S9" s="322"/>
      <c r="T9" s="322"/>
      <c r="U9" s="322"/>
    </row>
    <row r="10" spans="2:21" ht="21" customHeight="1">
      <c r="B10" s="691" t="s">
        <v>326</v>
      </c>
      <c r="C10" s="691"/>
      <c r="D10" s="691"/>
      <c r="E10" s="691"/>
      <c r="F10" s="691"/>
      <c r="G10" s="601"/>
      <c r="H10" s="1831" t="s">
        <v>788</v>
      </c>
      <c r="I10" s="1832"/>
      <c r="K10" s="1116"/>
      <c r="L10" s="1116"/>
      <c r="O10" s="322"/>
      <c r="P10" s="322"/>
      <c r="Q10" s="322"/>
      <c r="R10" s="322"/>
      <c r="S10" s="322"/>
      <c r="T10" s="322"/>
      <c r="U10" s="322"/>
    </row>
    <row r="11" spans="2:21" ht="21" customHeight="1" thickBot="1">
      <c r="B11" s="691" t="str">
        <f>'KEY INPUTS'!D28</f>
        <v>Outstanding - December 31, 2019</v>
      </c>
      <c r="C11" s="691"/>
      <c r="D11" s="691"/>
      <c r="E11" s="691"/>
      <c r="F11" s="691"/>
      <c r="G11" s="1131">
        <f>+H7+H8-G10</f>
        <v>0</v>
      </c>
      <c r="H11" s="1833" t="s">
        <v>788</v>
      </c>
      <c r="I11" s="1834"/>
      <c r="K11" s="1116"/>
      <c r="L11" s="1116"/>
      <c r="O11" s="322"/>
      <c r="P11" s="322"/>
      <c r="Q11" s="322"/>
      <c r="R11" s="322"/>
      <c r="S11" s="322"/>
      <c r="T11" s="322"/>
      <c r="U11" s="322"/>
    </row>
    <row r="12" spans="2:21" ht="21" customHeight="1" thickBot="1">
      <c r="B12" s="1116"/>
      <c r="C12" s="1116"/>
      <c r="D12" s="1116"/>
      <c r="E12" s="1116"/>
      <c r="F12" s="1116"/>
      <c r="G12" s="1133">
        <f>SUM(G7:G11)</f>
        <v>0</v>
      </c>
      <c r="H12" s="1838">
        <f>SUM(H7:I11)</f>
        <v>0</v>
      </c>
      <c r="I12" s="1839"/>
      <c r="K12" s="1116"/>
      <c r="L12" s="1116"/>
      <c r="O12" s="322"/>
      <c r="P12" s="322"/>
      <c r="Q12" s="322"/>
      <c r="R12" s="322"/>
      <c r="S12" s="322"/>
      <c r="T12" s="322"/>
      <c r="U12" s="322"/>
    </row>
    <row r="13" spans="2:21" ht="21" customHeight="1" thickTop="1">
      <c r="B13" s="1384" t="str">
        <f>TEXT('KEY INPUTS'!D34+1,"0")&amp;" Bond Maturities - Assessment Bonds"</f>
        <v>2020 Bond Maturities - Assessment Bonds</v>
      </c>
      <c r="C13" s="1130"/>
      <c r="D13" s="1130"/>
      <c r="E13" s="1130"/>
      <c r="F13" s="1130"/>
      <c r="G13" s="1130"/>
      <c r="H13" s="1130"/>
      <c r="I13" s="1383"/>
      <c r="J13" s="451" t="s">
        <v>482</v>
      </c>
      <c r="K13" s="1715"/>
      <c r="L13" s="1715"/>
      <c r="O13" s="322"/>
      <c r="P13" s="322"/>
      <c r="Q13" s="322"/>
      <c r="R13" s="322"/>
      <c r="S13" s="322"/>
      <c r="T13" s="322"/>
      <c r="U13" s="322"/>
    </row>
    <row r="14" spans="2:21" ht="21" customHeight="1" thickBot="1">
      <c r="B14" s="1385" t="str">
        <f>TEXT('KEY INPUTS'!D34+1,"0")&amp;" Interest on Bonds"</f>
        <v>2020 Interest on Bonds</v>
      </c>
      <c r="C14" s="1234"/>
      <c r="D14" s="1234"/>
      <c r="E14" s="1234"/>
      <c r="F14" s="1234"/>
      <c r="G14" s="1259"/>
      <c r="H14" s="488" t="s">
        <v>482</v>
      </c>
      <c r="I14" s="608"/>
      <c r="J14" s="1116"/>
      <c r="K14" s="1116"/>
      <c r="L14" s="1116"/>
      <c r="O14" s="322"/>
      <c r="P14" s="322"/>
      <c r="Q14" s="322"/>
      <c r="R14" s="322"/>
      <c r="S14" s="322"/>
      <c r="T14" s="322"/>
      <c r="U14" s="322"/>
    </row>
    <row r="15" spans="2:21" ht="16.5" customHeight="1" thickTop="1">
      <c r="B15" s="1952"/>
      <c r="C15" s="1952"/>
      <c r="D15" s="1952"/>
      <c r="E15" s="1952"/>
      <c r="F15" s="1952"/>
      <c r="G15" s="1952"/>
      <c r="H15" s="1952"/>
      <c r="I15" s="1953"/>
      <c r="J15" s="1116"/>
      <c r="K15" s="1116"/>
      <c r="L15" s="1116"/>
      <c r="O15" s="322"/>
      <c r="P15" s="322"/>
      <c r="Q15" s="322"/>
      <c r="R15" s="322"/>
      <c r="S15" s="322"/>
      <c r="T15" s="322"/>
      <c r="U15" s="322"/>
    </row>
    <row r="16" spans="2:21" ht="26.25" customHeight="1" thickBot="1">
      <c r="B16" s="1936" t="str">
        <f>UPPER('KEY INPUTS'!D55) &amp;" UTILITY  CAPITAL  BONDS"</f>
        <v xml:space="preserve"> UTILITY  CAPITAL  BONDS</v>
      </c>
      <c r="C16" s="1936"/>
      <c r="D16" s="1936"/>
      <c r="E16" s="1936"/>
      <c r="F16" s="1936"/>
      <c r="G16" s="1936"/>
      <c r="H16" s="1936"/>
      <c r="I16" s="1937"/>
      <c r="J16" s="1116"/>
      <c r="K16" s="1116"/>
      <c r="L16" s="1116"/>
      <c r="O16" s="322"/>
      <c r="P16" s="322"/>
      <c r="Q16" s="322"/>
      <c r="R16" s="322"/>
      <c r="S16" s="322"/>
      <c r="T16" s="322"/>
      <c r="U16" s="322"/>
    </row>
    <row r="17" spans="2:21" ht="21" customHeight="1" thickTop="1">
      <c r="B17" s="1213" t="str">
        <f>'KEY INPUTS'!D27</f>
        <v>Outstanding - January 1, 2019</v>
      </c>
      <c r="C17" s="1172"/>
      <c r="D17" s="1172"/>
      <c r="E17" s="1172"/>
      <c r="F17" s="1172"/>
      <c r="G17" s="1173" t="s">
        <v>788</v>
      </c>
      <c r="H17" s="1706"/>
      <c r="I17" s="1707"/>
      <c r="J17" s="1116"/>
      <c r="K17" s="1116"/>
      <c r="L17" s="1116"/>
      <c r="O17" s="322"/>
      <c r="P17" s="322"/>
      <c r="Q17" s="322"/>
      <c r="R17" s="322"/>
      <c r="S17" s="322"/>
      <c r="T17" s="322"/>
      <c r="U17" s="322"/>
    </row>
    <row r="18" spans="2:21" ht="21" customHeight="1">
      <c r="B18" s="691" t="s">
        <v>113</v>
      </c>
      <c r="C18" s="691"/>
      <c r="D18" s="691"/>
      <c r="E18" s="691"/>
      <c r="F18" s="691"/>
      <c r="G18" s="1176" t="s">
        <v>788</v>
      </c>
      <c r="H18" s="1680"/>
      <c r="I18" s="1681"/>
      <c r="J18" s="1116"/>
      <c r="K18" s="1116"/>
      <c r="L18" s="1116"/>
      <c r="O18" s="322"/>
      <c r="P18" s="322"/>
      <c r="Q18" s="322"/>
      <c r="R18" s="322"/>
      <c r="S18" s="322"/>
      <c r="T18" s="322"/>
      <c r="U18" s="322"/>
    </row>
    <row r="19" spans="2:21" ht="21" customHeight="1">
      <c r="B19" s="691" t="s">
        <v>326</v>
      </c>
      <c r="C19" s="691"/>
      <c r="D19" s="691"/>
      <c r="E19" s="691"/>
      <c r="F19" s="691"/>
      <c r="G19" s="601"/>
      <c r="H19" s="1831" t="s">
        <v>788</v>
      </c>
      <c r="I19" s="1832"/>
      <c r="J19" s="1116"/>
      <c r="K19" s="1116"/>
      <c r="L19" s="1116"/>
      <c r="O19" s="322"/>
      <c r="P19" s="322"/>
      <c r="Q19" s="322"/>
      <c r="R19" s="322"/>
      <c r="S19" s="322"/>
      <c r="T19" s="322"/>
      <c r="U19" s="322"/>
    </row>
    <row r="20" spans="2:21" ht="21" customHeight="1">
      <c r="B20" s="691"/>
      <c r="C20" s="691"/>
      <c r="D20" s="691"/>
      <c r="E20" s="691"/>
      <c r="F20" s="691"/>
      <c r="G20" s="690"/>
      <c r="H20" s="1840"/>
      <c r="I20" s="1841"/>
      <c r="J20" s="1116"/>
      <c r="K20" s="1116"/>
      <c r="L20" s="1116"/>
      <c r="O20" s="322"/>
      <c r="P20" s="322"/>
      <c r="Q20" s="322"/>
      <c r="R20" s="322"/>
      <c r="S20" s="322"/>
      <c r="T20" s="322"/>
      <c r="U20" s="322"/>
    </row>
    <row r="21" spans="2:21" ht="21" customHeight="1">
      <c r="B21" s="691"/>
      <c r="C21" s="691"/>
      <c r="D21" s="691"/>
      <c r="E21" s="691"/>
      <c r="F21" s="691"/>
      <c r="G21" s="690"/>
      <c r="H21" s="1840"/>
      <c r="I21" s="1841"/>
      <c r="J21" s="1116"/>
      <c r="K21" s="1116"/>
      <c r="L21" s="1116"/>
      <c r="O21" s="322"/>
      <c r="P21" s="322"/>
      <c r="Q21" s="322"/>
      <c r="R21" s="322"/>
      <c r="S21" s="322"/>
      <c r="T21" s="322"/>
      <c r="U21" s="322"/>
    </row>
    <row r="22" spans="2:21" ht="21" customHeight="1" thickBot="1">
      <c r="B22" s="691" t="str">
        <f>'KEY INPUTS'!D28</f>
        <v>Outstanding - December 31, 2019</v>
      </c>
      <c r="C22" s="691"/>
      <c r="D22" s="691"/>
      <c r="E22" s="691"/>
      <c r="F22" s="691"/>
      <c r="G22" s="1131">
        <f>+H17+H18-G19-G20-G21+H20+H21</f>
        <v>0</v>
      </c>
      <c r="H22" s="1833" t="s">
        <v>788</v>
      </c>
      <c r="I22" s="1834"/>
      <c r="J22" s="1116"/>
      <c r="K22" s="1116"/>
      <c r="L22" s="1116"/>
      <c r="O22" s="322"/>
      <c r="P22" s="322"/>
      <c r="Q22" s="322"/>
      <c r="R22" s="322"/>
      <c r="S22" s="322"/>
      <c r="T22" s="322"/>
      <c r="U22" s="322"/>
    </row>
    <row r="23" spans="2:21" ht="21" customHeight="1" thickBot="1">
      <c r="B23" s="1116"/>
      <c r="C23" s="1116"/>
      <c r="D23" s="1116"/>
      <c r="E23" s="1116"/>
      <c r="F23" s="1116"/>
      <c r="G23" s="1133">
        <f>SUM(G17:G22)</f>
        <v>0</v>
      </c>
      <c r="H23" s="1838">
        <f>SUM(H17:I22)</f>
        <v>0</v>
      </c>
      <c r="I23" s="1839"/>
      <c r="J23" s="1116"/>
      <c r="K23" s="1116"/>
      <c r="L23" s="1116"/>
    </row>
    <row r="24" spans="2:21" ht="21" customHeight="1" thickTop="1">
      <c r="B24" s="1384" t="str">
        <f>TEXT('KEY INPUTS'!D34+1,"0")&amp;" Bond Maturities - Capital Bonds"</f>
        <v>2020 Bond Maturities - Capital Bonds</v>
      </c>
      <c r="C24" s="1130"/>
      <c r="D24" s="1130"/>
      <c r="E24" s="1130"/>
      <c r="F24" s="1130"/>
      <c r="G24" s="1130"/>
      <c r="H24" s="1130"/>
      <c r="I24" s="1383"/>
      <c r="J24" s="451" t="s">
        <v>482</v>
      </c>
      <c r="K24" s="1715"/>
      <c r="L24" s="1715"/>
    </row>
    <row r="25" spans="2:21" ht="21" customHeight="1" thickBot="1">
      <c r="B25" s="1385" t="str">
        <f>TEXT('KEY INPUTS'!D34+1,"0")&amp;" Interest on Bonds"</f>
        <v>2020 Interest on Bonds</v>
      </c>
      <c r="C25" s="1234"/>
      <c r="D25" s="1234"/>
      <c r="E25" s="1234"/>
      <c r="F25" s="1234"/>
      <c r="G25" s="1259"/>
      <c r="H25" s="488" t="s">
        <v>482</v>
      </c>
      <c r="I25" s="608"/>
      <c r="J25" s="489"/>
      <c r="K25" s="1234"/>
      <c r="L25" s="1385" t="s">
        <v>3408</v>
      </c>
    </row>
    <row r="26" spans="2:21" ht="21" customHeight="1" thickTop="1">
      <c r="B26" s="1116"/>
      <c r="C26" s="1116"/>
      <c r="D26" s="1116"/>
      <c r="E26" s="1116"/>
      <c r="F26" s="1116"/>
      <c r="G26" s="1116"/>
      <c r="H26" s="1116"/>
      <c r="I26" s="1116"/>
      <c r="J26" s="1116"/>
      <c r="K26" s="1116"/>
      <c r="L26" s="1116"/>
    </row>
    <row r="27" spans="2:21" ht="19.5" customHeight="1" thickBot="1">
      <c r="B27" s="1936" t="str">
        <f>"INTEREST  ON  BONDS  -  "&amp;UPPER('KEY INPUTS'!D55)&amp;"  UTILITY  BUDGET"</f>
        <v>INTEREST  ON  BONDS  -    UTILITY  BUDGET</v>
      </c>
      <c r="C27" s="1936"/>
      <c r="D27" s="1936"/>
      <c r="E27" s="1936"/>
      <c r="F27" s="1936"/>
      <c r="G27" s="1936"/>
      <c r="H27" s="1936"/>
      <c r="I27" s="1936"/>
      <c r="J27" s="1936"/>
      <c r="K27" s="1936"/>
      <c r="L27" s="1936"/>
    </row>
    <row r="28" spans="2:21" ht="21" customHeight="1" thickTop="1">
      <c r="B28" s="1396" t="str">
        <f>TEXT('KEY INPUTS'!D34+1,"0")&amp;" Interest on Bonds (*Items)"</f>
        <v>2020 Interest on Bonds (*Items)</v>
      </c>
      <c r="C28" s="1172"/>
      <c r="D28" s="1172"/>
      <c r="E28" s="1172"/>
      <c r="F28" s="1172"/>
      <c r="G28" s="1172"/>
      <c r="H28" s="457" t="s">
        <v>482</v>
      </c>
      <c r="I28" s="1232">
        <f>+I14+I25</f>
        <v>0</v>
      </c>
      <c r="K28" s="1116"/>
      <c r="L28" s="1116"/>
      <c r="O28" s="464"/>
      <c r="P28" s="464"/>
      <c r="Q28" s="464"/>
      <c r="R28" s="464"/>
    </row>
    <row r="29" spans="2:21" ht="21" customHeight="1">
      <c r="B29" s="916" t="str">
        <f>"Less: Interest Accrued to "&amp;TEXT('KEY INPUTS'!D29,"mm/dd/yyy")&amp;" (Trial Balance)"</f>
        <v>Less: Interest Accrued to 12/31/2019 (Trial Balance)</v>
      </c>
      <c r="C29" s="691"/>
      <c r="D29" s="691"/>
      <c r="E29" s="691"/>
      <c r="F29" s="691"/>
      <c r="G29" s="691"/>
      <c r="H29" s="402" t="s">
        <v>482</v>
      </c>
      <c r="I29" s="673"/>
      <c r="K29" s="1116"/>
      <c r="L29" s="1116"/>
      <c r="O29" s="464"/>
      <c r="P29" s="464"/>
      <c r="Q29" s="464"/>
      <c r="R29" s="464"/>
    </row>
    <row r="30" spans="2:21" ht="21" customHeight="1">
      <c r="B30" s="691"/>
      <c r="C30" s="691" t="s">
        <v>421</v>
      </c>
      <c r="D30" s="691"/>
      <c r="E30" s="691"/>
      <c r="F30" s="691"/>
      <c r="G30" s="691"/>
      <c r="H30" s="402" t="s">
        <v>482</v>
      </c>
      <c r="I30" s="1233">
        <f>+I28-I29</f>
        <v>0</v>
      </c>
      <c r="K30" s="1116"/>
      <c r="L30" s="1116"/>
      <c r="O30" s="464"/>
      <c r="P30" s="464"/>
      <c r="Q30" s="464"/>
      <c r="R30" s="464"/>
    </row>
    <row r="31" spans="2:21" ht="21" customHeight="1">
      <c r="B31" s="916" t="str">
        <f>"Add: Interest to be Accrued as of "&amp;TEXT('KEY INPUTS'!D30,"mm/dd/yyyy")&amp;""</f>
        <v>Add: Interest to be Accrued as of 12/31/2020</v>
      </c>
      <c r="C31" s="691"/>
      <c r="D31" s="691"/>
      <c r="E31" s="691"/>
      <c r="F31" s="691"/>
      <c r="G31" s="691"/>
      <c r="H31" s="402" t="s">
        <v>482</v>
      </c>
      <c r="I31" s="673"/>
      <c r="K31" s="1116"/>
      <c r="L31" s="1116"/>
      <c r="O31" s="464"/>
      <c r="P31" s="464"/>
      <c r="Q31" s="464"/>
      <c r="R31" s="464"/>
    </row>
    <row r="32" spans="2:21" ht="21" customHeight="1">
      <c r="B32" s="916" t="str">
        <f>"Required Appropriation "&amp;TEXT('KEY INPUTS'!D34+1,"0")</f>
        <v>Required Appropriation 2020</v>
      </c>
      <c r="C32" s="691"/>
      <c r="D32" s="691"/>
      <c r="E32" s="691"/>
      <c r="F32" s="691"/>
      <c r="G32" s="691"/>
      <c r="H32" s="402"/>
      <c r="I32" s="1416"/>
      <c r="J32" s="491" t="s">
        <v>482</v>
      </c>
      <c r="K32" s="1825">
        <f>+I30+I31</f>
        <v>0</v>
      </c>
      <c r="L32" s="1826"/>
      <c r="O32" s="464"/>
      <c r="P32" s="464"/>
      <c r="Q32" s="464"/>
      <c r="R32" s="464"/>
    </row>
    <row r="33" spans="2:12" ht="13.5" customHeight="1">
      <c r="B33" s="1194"/>
      <c r="C33" s="1194"/>
      <c r="D33" s="1194"/>
      <c r="E33" s="1194"/>
      <c r="F33" s="1194"/>
      <c r="G33" s="1194"/>
      <c r="H33" s="1194"/>
      <c r="I33" s="1194"/>
      <c r="J33" s="1194"/>
      <c r="K33" s="1429"/>
      <c r="L33" s="1300"/>
    </row>
    <row r="34" spans="2:12" ht="13.5" customHeight="1">
      <c r="B34" s="1194"/>
      <c r="C34" s="1194"/>
      <c r="D34" s="1194"/>
      <c r="E34" s="1194"/>
      <c r="F34" s="1194"/>
      <c r="G34" s="1194"/>
      <c r="H34" s="1194"/>
      <c r="I34" s="1194"/>
      <c r="J34" s="1194"/>
      <c r="K34" s="1429"/>
      <c r="L34" s="1300"/>
    </row>
    <row r="35" spans="2:12" ht="21" customHeight="1" thickBot="1">
      <c r="B35" s="1939" t="str">
        <f>"LIST  OF  BONDS  ISSUED  DURING  "&amp;TEXT('KEY INPUTS'!D34,"0")&amp;""</f>
        <v>LIST  OF  BONDS  ISSUED  DURING  2019</v>
      </c>
      <c r="C35" s="1939"/>
      <c r="D35" s="1939"/>
      <c r="E35" s="1939"/>
      <c r="F35" s="1939"/>
      <c r="G35" s="1939"/>
      <c r="H35" s="1939"/>
      <c r="I35" s="1939"/>
      <c r="J35" s="1939"/>
      <c r="K35" s="1939"/>
      <c r="L35" s="1939"/>
    </row>
    <row r="36" spans="2:12" ht="27" customHeight="1" thickTop="1" thickBot="1">
      <c r="B36" s="1763" t="s">
        <v>532</v>
      </c>
      <c r="C36" s="1763"/>
      <c r="D36" s="1763"/>
      <c r="E36" s="1763"/>
      <c r="F36" s="1763"/>
      <c r="G36" s="1399" t="str">
        <f>TEXT('KEY INPUTS'!D34,"0")&amp;" Maturity"</f>
        <v>2019 Maturity</v>
      </c>
      <c r="H36" s="1933" t="s">
        <v>109</v>
      </c>
      <c r="I36" s="1764"/>
      <c r="J36" s="1954" t="s">
        <v>107</v>
      </c>
      <c r="K36" s="1955"/>
      <c r="L36" s="1415"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234"/>
      <c r="C41" s="1234"/>
      <c r="D41" s="1234"/>
      <c r="E41" s="1234"/>
      <c r="F41" s="1387"/>
      <c r="G41" s="1133">
        <f>SUM(G37:G40)</f>
        <v>0</v>
      </c>
      <c r="H41" s="1821">
        <f>SUM(H37:I40)</f>
        <v>0</v>
      </c>
      <c r="I41" s="1822"/>
      <c r="J41" s="1388"/>
      <c r="K41" s="1234"/>
      <c r="L41" s="1235"/>
    </row>
    <row r="42" spans="2:12" ht="13.8" thickTop="1">
      <c r="G42" s="784"/>
      <c r="H42" s="784"/>
      <c r="I42" s="784"/>
    </row>
    <row r="50" spans="2:12" ht="13.8">
      <c r="B50" s="1766" t="s">
        <v>3446</v>
      </c>
      <c r="C50" s="1766"/>
      <c r="D50" s="1766"/>
      <c r="E50" s="1766"/>
      <c r="F50" s="1766"/>
      <c r="G50" s="1766"/>
      <c r="H50" s="1766"/>
      <c r="I50" s="1766"/>
      <c r="J50" s="1766"/>
      <c r="K50" s="1766"/>
      <c r="L50" s="1766"/>
    </row>
  </sheetData>
  <sheetProtection algorithmName="SHA-512" hashValue="LRL3EAq+AvfHaZLX5CAvKgtMPwMfxYvdqWWkG0Y0j2AAMg5UJo7St2kr6tZtl5DS2Q7S55AaLfOy2KxVxKJsaA==" saltValue="GA+pZVLl1/2b4L+SsYOrKw=="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5">
    <tabColor theme="2" tint="-0.249977111117893"/>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8"/>
      <c r="C1" s="1148"/>
      <c r="D1" s="1148"/>
      <c r="E1" s="1148"/>
      <c r="F1" s="1148"/>
      <c r="G1" s="1148"/>
      <c r="H1" s="1148"/>
      <c r="I1" s="1148"/>
      <c r="J1" s="1148"/>
      <c r="K1" s="1148"/>
      <c r="L1" s="1148"/>
    </row>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INPUTS'!D$55)&amp;"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K7" s="1148"/>
      <c r="L7" s="1148"/>
      <c r="O7" s="322"/>
      <c r="P7" s="322"/>
      <c r="Q7" s="322"/>
      <c r="R7" s="322"/>
      <c r="S7" s="322"/>
      <c r="T7" s="322"/>
      <c r="U7" s="322"/>
    </row>
    <row r="8" spans="2:21" ht="21" customHeight="1">
      <c r="B8" s="691" t="s">
        <v>113</v>
      </c>
      <c r="C8" s="1141"/>
      <c r="D8" s="1141"/>
      <c r="E8" s="1141"/>
      <c r="F8" s="1141"/>
      <c r="G8" s="975" t="s">
        <v>788</v>
      </c>
      <c r="H8" s="1680"/>
      <c r="I8" s="1681"/>
      <c r="K8" s="1148"/>
      <c r="L8" s="1148"/>
      <c r="O8" s="377"/>
      <c r="P8" s="322"/>
      <c r="Q8" s="322"/>
      <c r="R8" s="322"/>
      <c r="S8" s="322"/>
      <c r="T8" s="322"/>
      <c r="U8" s="322"/>
    </row>
    <row r="9" spans="2:21" ht="21" customHeight="1">
      <c r="B9" s="691"/>
      <c r="C9" s="1141"/>
      <c r="D9" s="1141"/>
      <c r="E9" s="1141"/>
      <c r="F9" s="1141"/>
      <c r="G9" s="975"/>
      <c r="H9" s="1391"/>
      <c r="I9" s="1392"/>
      <c r="K9" s="1148"/>
      <c r="L9" s="1148"/>
      <c r="O9" s="322"/>
      <c r="P9" s="322"/>
      <c r="Q9" s="322"/>
      <c r="R9" s="322"/>
      <c r="S9" s="322"/>
      <c r="T9" s="322"/>
      <c r="U9" s="322"/>
    </row>
    <row r="10" spans="2:21" ht="21" customHeight="1">
      <c r="B10" s="691" t="s">
        <v>326</v>
      </c>
      <c r="C10" s="1141"/>
      <c r="D10" s="1141"/>
      <c r="E10" s="1141"/>
      <c r="F10" s="1141"/>
      <c r="G10" s="601"/>
      <c r="H10" s="1686" t="s">
        <v>788</v>
      </c>
      <c r="I10" s="1687"/>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J15" s="1148"/>
      <c r="K15" s="1148"/>
      <c r="L15" s="1148"/>
      <c r="O15" s="322"/>
      <c r="P15" s="322"/>
      <c r="Q15" s="322"/>
      <c r="R15" s="322"/>
      <c r="S15" s="322"/>
      <c r="T15" s="322"/>
      <c r="U15" s="322"/>
    </row>
    <row r="16" spans="2:21" ht="26.25" customHeight="1" thickBot="1">
      <c r="B16" s="1936" t="str">
        <f>UPPER('KEY INPUTS'!D$55)&amp;"  UTILITY"&amp;" ________________ LOAN"</f>
        <v xml:space="preserve">  UTILITY ________________ LOAN</v>
      </c>
      <c r="C16" s="1936"/>
      <c r="D16" s="1936"/>
      <c r="E16" s="1936"/>
      <c r="F16" s="1936"/>
      <c r="G16" s="1936"/>
      <c r="H16" s="1936"/>
      <c r="I16" s="1937"/>
      <c r="J16" s="1148"/>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J17" s="1148"/>
      <c r="K17" s="1148"/>
      <c r="L17" s="1148"/>
      <c r="O17" s="322"/>
      <c r="P17" s="322"/>
      <c r="Q17" s="322"/>
      <c r="R17" s="322"/>
      <c r="S17" s="322"/>
      <c r="T17" s="322"/>
      <c r="U17" s="322"/>
    </row>
    <row r="18" spans="2:21" ht="21" customHeight="1">
      <c r="B18" s="691" t="s">
        <v>113</v>
      </c>
      <c r="C18" s="1141"/>
      <c r="D18" s="1141"/>
      <c r="E18" s="1141"/>
      <c r="F18" s="1141"/>
      <c r="G18" s="975" t="s">
        <v>788</v>
      </c>
      <c r="H18" s="1680"/>
      <c r="I18" s="1681"/>
      <c r="J18" s="1148"/>
      <c r="K18" s="1148"/>
      <c r="L18" s="1148"/>
      <c r="O18" s="322"/>
      <c r="P18" s="322"/>
      <c r="Q18" s="322"/>
      <c r="R18" s="322"/>
      <c r="S18" s="322"/>
      <c r="T18" s="322"/>
      <c r="U18" s="322"/>
    </row>
    <row r="19" spans="2:21" ht="21" customHeight="1">
      <c r="B19" s="691" t="s">
        <v>326</v>
      </c>
      <c r="C19" s="1141"/>
      <c r="D19" s="1141"/>
      <c r="E19" s="1141"/>
      <c r="F19" s="1141"/>
      <c r="G19" s="601"/>
      <c r="H19" s="1686" t="s">
        <v>788</v>
      </c>
      <c r="I19" s="1687"/>
      <c r="J19" s="1148"/>
      <c r="K19" s="1148"/>
      <c r="L19" s="1148"/>
      <c r="O19" s="322"/>
      <c r="P19" s="322"/>
      <c r="Q19" s="322"/>
      <c r="R19" s="322"/>
      <c r="S19" s="322"/>
      <c r="T19" s="322"/>
      <c r="U19" s="322"/>
    </row>
    <row r="20" spans="2:21" ht="21" customHeight="1">
      <c r="B20" s="691"/>
      <c r="C20" s="1141"/>
      <c r="D20" s="1141"/>
      <c r="E20" s="1141"/>
      <c r="F20" s="1141"/>
      <c r="G20" s="1107"/>
      <c r="H20" s="1708"/>
      <c r="I20" s="1709"/>
      <c r="J20" s="1148"/>
      <c r="K20" s="1148"/>
      <c r="L20" s="1148"/>
      <c r="O20" s="322"/>
      <c r="P20" s="322"/>
      <c r="Q20" s="322"/>
      <c r="R20" s="322"/>
      <c r="S20" s="322"/>
      <c r="T20" s="322"/>
      <c r="U20" s="322"/>
    </row>
    <row r="21" spans="2:21" ht="21" customHeight="1">
      <c r="B21" s="691"/>
      <c r="C21" s="1141"/>
      <c r="D21" s="1141"/>
      <c r="E21" s="1141"/>
      <c r="F21" s="1141"/>
      <c r="G21" s="1107"/>
      <c r="H21" s="1708"/>
      <c r="I21" s="1709"/>
      <c r="J21" s="1148"/>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J22" s="1148"/>
      <c r="K22" s="1148"/>
      <c r="L22" s="1148"/>
      <c r="O22" s="322"/>
      <c r="P22" s="322"/>
      <c r="Q22" s="322"/>
      <c r="R22" s="322"/>
      <c r="S22" s="322"/>
      <c r="T22" s="322"/>
      <c r="U22" s="322"/>
    </row>
    <row r="23" spans="2:21" ht="21" customHeight="1" thickBot="1">
      <c r="B23" s="1116"/>
      <c r="C23" s="1148"/>
      <c r="D23" s="1148"/>
      <c r="E23" s="1148"/>
      <c r="F23" s="1148"/>
      <c r="G23" s="1085">
        <f>SUM(G17:G22)</f>
        <v>0</v>
      </c>
      <c r="H23" s="1684">
        <f>SUM(H17:I22)</f>
        <v>0</v>
      </c>
      <c r="I23" s="1685"/>
      <c r="J23" s="1148"/>
      <c r="K23" s="1148"/>
      <c r="L23" s="1148"/>
    </row>
    <row r="24" spans="2:21" ht="21" customHeight="1" thickTop="1">
      <c r="B24" s="1384" t="str">
        <f>TEXT('KEY INPUTS'!D34+1,"0")&amp;" Loan Maturities"</f>
        <v>2020 Loan Maturities</v>
      </c>
      <c r="C24" s="1393"/>
      <c r="D24" s="1393"/>
      <c r="E24" s="1393"/>
      <c r="F24" s="1393"/>
      <c r="G24" s="1393"/>
      <c r="H24" s="1393"/>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INPUTS'!D55)&amp;"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1160" t="s">
        <v>482</v>
      </c>
      <c r="I28" s="1395">
        <f>+I25+I14</f>
        <v>0</v>
      </c>
      <c r="J28" s="1148"/>
      <c r="K28" s="1148"/>
      <c r="L28" s="1148"/>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c r="J29" s="1148"/>
      <c r="K29" s="1148"/>
      <c r="L29" s="1148"/>
    </row>
    <row r="30" spans="2:21" ht="21" customHeight="1">
      <c r="B30" s="691"/>
      <c r="C30" s="691" t="s">
        <v>421</v>
      </c>
      <c r="D30" s="1141"/>
      <c r="E30" s="1141"/>
      <c r="F30" s="1141"/>
      <c r="G30" s="1141"/>
      <c r="H30" s="334" t="s">
        <v>482</v>
      </c>
      <c r="I30" s="1397">
        <f>+I28-I29</f>
        <v>0</v>
      </c>
      <c r="J30" s="1148"/>
      <c r="K30" s="1148"/>
      <c r="L30" s="1148"/>
    </row>
    <row r="31" spans="2:21" ht="21" customHeight="1">
      <c r="B31" s="916" t="str">
        <f>"Add: Interest to be Accrued as of "&amp;TEXT('KEY INPUTS'!D30,"mm/dd/yyyy")&amp;""</f>
        <v>Add: Interest to be Accrued as of 12/31/2020</v>
      </c>
      <c r="C31" s="691"/>
      <c r="D31" s="1141"/>
      <c r="E31" s="1141"/>
      <c r="F31" s="1141"/>
      <c r="G31" s="1141"/>
      <c r="H31" s="334" t="s">
        <v>482</v>
      </c>
      <c r="I31" s="600"/>
      <c r="J31" s="1148"/>
      <c r="K31" s="1148"/>
      <c r="L31" s="1148"/>
    </row>
    <row r="32" spans="2:21" ht="21" customHeight="1">
      <c r="B32" s="916" t="str">
        <f>"Required Appropriation "&amp;TEXT('KEY INPUTS'!D34+1,"0")</f>
        <v>Required Appropriation 2020</v>
      </c>
      <c r="C32" s="691"/>
      <c r="D32" s="1141"/>
      <c r="E32" s="1141"/>
      <c r="F32" s="1141"/>
      <c r="G32" s="1141"/>
      <c r="H32" s="1141"/>
      <c r="I32" s="1430"/>
      <c r="J32" s="506"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algorithmName="SHA-512" hashValue="G+Ua4LJ6Sm4GZa91bEeegeHYTcfsNXcryUD6hLbF5WQGYrkT/Zk6G1PKCNbQqEF9GWU7nd8hZKjYXM8w/vO5aw==" saltValue="5WtYOKwyJpRfqXJV9XuyX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6">
    <tabColor theme="2" tint="-0.249977111117893"/>
  </sheetPr>
  <dimension ref="B1: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1" spans="2:21">
      <c r="B1" s="1148"/>
      <c r="C1" s="1148"/>
      <c r="D1" s="1148"/>
      <c r="E1" s="1148"/>
      <c r="F1" s="1148"/>
      <c r="G1" s="1148"/>
      <c r="H1" s="1148"/>
      <c r="I1" s="1148"/>
      <c r="J1" s="1148"/>
      <c r="K1" s="1148"/>
      <c r="L1" s="1148"/>
    </row>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INPUTS'!D$55)&amp;"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J7" s="1148"/>
      <c r="K7" s="1148"/>
      <c r="L7" s="1148"/>
      <c r="O7" s="322"/>
      <c r="P7" s="322"/>
      <c r="Q7" s="322"/>
      <c r="R7" s="322"/>
      <c r="S7" s="322"/>
      <c r="T7" s="322"/>
      <c r="U7" s="322"/>
    </row>
    <row r="8" spans="2:21" ht="21" customHeight="1">
      <c r="B8" s="691" t="s">
        <v>113</v>
      </c>
      <c r="C8" s="1141"/>
      <c r="D8" s="1141"/>
      <c r="E8" s="1141"/>
      <c r="F8" s="1141"/>
      <c r="G8" s="975" t="s">
        <v>788</v>
      </c>
      <c r="H8" s="1680"/>
      <c r="I8" s="1681"/>
      <c r="J8" s="1148"/>
      <c r="K8" s="1148"/>
      <c r="L8" s="1148"/>
      <c r="O8" s="377"/>
      <c r="P8" s="322"/>
      <c r="Q8" s="322"/>
      <c r="R8" s="322"/>
      <c r="S8" s="322"/>
      <c r="T8" s="322"/>
      <c r="U8" s="322"/>
    </row>
    <row r="9" spans="2:21" ht="21" customHeight="1">
      <c r="B9" s="691"/>
      <c r="C9" s="1141"/>
      <c r="D9" s="1141"/>
      <c r="E9" s="1141"/>
      <c r="F9" s="1141"/>
      <c r="G9" s="975"/>
      <c r="H9" s="1391"/>
      <c r="I9" s="1392"/>
      <c r="J9" s="1148"/>
      <c r="K9" s="1148"/>
      <c r="L9" s="1148"/>
      <c r="O9" s="322"/>
      <c r="P9" s="322"/>
      <c r="Q9" s="322"/>
      <c r="R9" s="322"/>
      <c r="S9" s="322"/>
      <c r="T9" s="322"/>
      <c r="U9" s="322"/>
    </row>
    <row r="10" spans="2:21" ht="21" customHeight="1">
      <c r="B10" s="691" t="s">
        <v>326</v>
      </c>
      <c r="C10" s="1141"/>
      <c r="D10" s="1141"/>
      <c r="E10" s="1141"/>
      <c r="F10" s="1141"/>
      <c r="G10" s="601"/>
      <c r="H10" s="1686" t="s">
        <v>788</v>
      </c>
      <c r="I10" s="1687"/>
      <c r="J10" s="1148"/>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J11" s="1148"/>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J12" s="1148"/>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K15" s="1148"/>
      <c r="L15" s="1148"/>
      <c r="O15" s="322"/>
      <c r="P15" s="322"/>
      <c r="Q15" s="322"/>
      <c r="R15" s="322"/>
      <c r="S15" s="322"/>
      <c r="T15" s="322"/>
      <c r="U15" s="322"/>
    </row>
    <row r="16" spans="2:21" ht="26.25" customHeight="1" thickBot="1">
      <c r="B16" s="1936" t="str">
        <f>UPPER('KEY INPUTS'!D$55)&amp;"  UTILITY"&amp;" ________________ LOAN"</f>
        <v xml:space="preserve">  UTILITY ________________ LOAN</v>
      </c>
      <c r="C16" s="1936"/>
      <c r="D16" s="1936"/>
      <c r="E16" s="1936"/>
      <c r="F16" s="1936"/>
      <c r="G16" s="1936"/>
      <c r="H16" s="1936"/>
      <c r="I16" s="1937"/>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K17" s="1148"/>
      <c r="L17" s="1148"/>
      <c r="O17" s="322"/>
      <c r="P17" s="322"/>
      <c r="Q17" s="322"/>
      <c r="R17" s="322"/>
      <c r="S17" s="322"/>
      <c r="T17" s="322"/>
      <c r="U17" s="322"/>
    </row>
    <row r="18" spans="2:21" ht="21" customHeight="1">
      <c r="B18" s="691" t="s">
        <v>113</v>
      </c>
      <c r="C18" s="1141"/>
      <c r="D18" s="1141"/>
      <c r="E18" s="1141"/>
      <c r="F18" s="1141"/>
      <c r="G18" s="975" t="s">
        <v>788</v>
      </c>
      <c r="H18" s="1680"/>
      <c r="I18" s="1681"/>
      <c r="K18" s="1148"/>
      <c r="L18" s="1148"/>
      <c r="O18" s="322"/>
      <c r="P18" s="322"/>
      <c r="Q18" s="322"/>
      <c r="R18" s="322"/>
      <c r="S18" s="322"/>
      <c r="T18" s="322"/>
      <c r="U18" s="322"/>
    </row>
    <row r="19" spans="2:21" ht="21" customHeight="1">
      <c r="B19" s="691" t="s">
        <v>326</v>
      </c>
      <c r="C19" s="1141"/>
      <c r="D19" s="1141"/>
      <c r="E19" s="1141"/>
      <c r="F19" s="1141"/>
      <c r="G19" s="601"/>
      <c r="H19" s="1686" t="s">
        <v>788</v>
      </c>
      <c r="I19" s="1687"/>
      <c r="K19" s="1148"/>
      <c r="L19" s="1148"/>
      <c r="O19" s="322"/>
      <c r="P19" s="322"/>
      <c r="Q19" s="322"/>
      <c r="R19" s="322"/>
      <c r="S19" s="322"/>
      <c r="T19" s="322"/>
      <c r="U19" s="322"/>
    </row>
    <row r="20" spans="2:21" ht="21" customHeight="1">
      <c r="B20" s="691"/>
      <c r="C20" s="1141"/>
      <c r="D20" s="1141"/>
      <c r="E20" s="1141"/>
      <c r="F20" s="1141"/>
      <c r="G20" s="1107"/>
      <c r="H20" s="1708"/>
      <c r="I20" s="1709"/>
      <c r="K20" s="1148"/>
      <c r="L20" s="1148"/>
      <c r="O20" s="322"/>
      <c r="P20" s="322"/>
      <c r="Q20" s="322"/>
      <c r="R20" s="322"/>
      <c r="S20" s="322"/>
      <c r="T20" s="322"/>
      <c r="U20" s="322"/>
    </row>
    <row r="21" spans="2:21" ht="21" customHeight="1">
      <c r="B21" s="691"/>
      <c r="C21" s="1141"/>
      <c r="D21" s="1141"/>
      <c r="E21" s="1141"/>
      <c r="F21" s="1141"/>
      <c r="G21" s="1107"/>
      <c r="H21" s="1708"/>
      <c r="I21" s="1709"/>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K22" s="1148"/>
      <c r="L22" s="1148"/>
      <c r="O22" s="322"/>
      <c r="P22" s="322"/>
      <c r="Q22" s="322"/>
      <c r="R22" s="322"/>
      <c r="S22" s="322"/>
      <c r="T22" s="322"/>
      <c r="U22" s="322"/>
    </row>
    <row r="23" spans="2:21" ht="21" customHeight="1" thickBot="1">
      <c r="B23" s="1116"/>
      <c r="C23" s="1148"/>
      <c r="D23" s="1148"/>
      <c r="E23" s="1148"/>
      <c r="F23" s="1148"/>
      <c r="G23" s="1085">
        <f>SUM(G17:G22)</f>
        <v>0</v>
      </c>
      <c r="H23" s="1684">
        <f>SUM(H17:I22)</f>
        <v>0</v>
      </c>
      <c r="I23" s="1685"/>
      <c r="K23" s="1148"/>
      <c r="L23" s="1148"/>
    </row>
    <row r="24" spans="2:21" ht="21" customHeight="1" thickTop="1">
      <c r="B24" s="1384" t="str">
        <f>TEXT('KEY INPUTS'!D34+1,"0")&amp;" Loan Maturities"</f>
        <v>2020 Loan Maturities</v>
      </c>
      <c r="C24" s="1393"/>
      <c r="D24" s="1393"/>
      <c r="E24" s="1393"/>
      <c r="F24" s="1393"/>
      <c r="G24" s="1393"/>
      <c r="H24" s="1393"/>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INPUTS'!D55)&amp;"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1160" t="s">
        <v>482</v>
      </c>
      <c r="I28" s="1395">
        <f>+I25+I14</f>
        <v>0</v>
      </c>
      <c r="J28" s="1148"/>
      <c r="K28" s="1148"/>
      <c r="L28" s="1148"/>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row>
    <row r="30" spans="2:21" ht="21" customHeight="1">
      <c r="B30" s="691"/>
      <c r="C30" s="691" t="s">
        <v>421</v>
      </c>
      <c r="D30" s="1141"/>
      <c r="E30" s="1141"/>
      <c r="F30" s="1141"/>
      <c r="G30" s="1141"/>
      <c r="H30" s="334" t="s">
        <v>482</v>
      </c>
      <c r="I30" s="512">
        <f>+I28-I29</f>
        <v>0</v>
      </c>
      <c r="J30" s="1148"/>
      <c r="K30" s="1148"/>
      <c r="L30" s="1148"/>
    </row>
    <row r="31" spans="2:21" ht="21" customHeight="1">
      <c r="B31" s="916" t="str">
        <f>"Add: Interest to be Accrued as of "&amp;TEXT('KEY INPUTS'!D30,"mm/dd/yyyy")&amp;""</f>
        <v>Add: Interest to be Accrued as of 12/31/2020</v>
      </c>
      <c r="C31" s="691"/>
      <c r="D31" s="1141"/>
      <c r="E31" s="1141"/>
      <c r="F31" s="1141"/>
      <c r="G31" s="1141"/>
      <c r="H31" s="334" t="s">
        <v>482</v>
      </c>
      <c r="I31" s="600"/>
      <c r="J31" s="1148"/>
      <c r="K31" s="1148"/>
      <c r="L31" s="1148"/>
    </row>
    <row r="32" spans="2:21" ht="21" customHeight="1">
      <c r="B32" s="916" t="str">
        <f>"Required Appropriation "&amp;TEXT('KEY INPUTS'!D34+1,"0")</f>
        <v>Required Appropriation 2020</v>
      </c>
      <c r="C32" s="691"/>
      <c r="D32" s="1141"/>
      <c r="E32" s="1141"/>
      <c r="F32" s="1141"/>
      <c r="G32" s="1141"/>
      <c r="H32" s="1141"/>
      <c r="I32" s="1167"/>
      <c r="J32" s="1432"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algorithmName="SHA-512" hashValue="6QDg+fAOxVqZYGwpRK4annxT3jkk/lxCLx+xpj7pHHLd11wQ/ouXibLoH1Wrjg5oFC9e5TjNgLOa5HBtOGe4bw==" saltValue="pD55lE3VByCP8AObADiAg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7">
    <tabColor theme="2" tint="-0.249977111117893"/>
  </sheetPr>
  <dimension ref="A1:V30"/>
  <sheetViews>
    <sheetView zoomScaleNormal="100" zoomScaleSheetLayoutView="80" workbookViewId="0">
      <selection activeCell="B1" sqref="B1"/>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6"/>
      <c r="C1" s="1116"/>
      <c r="D1" s="1116"/>
      <c r="E1" s="1116"/>
      <c r="F1" s="1116"/>
      <c r="G1" s="1116"/>
      <c r="H1" s="1116"/>
      <c r="I1" s="1116"/>
      <c r="J1" s="1116"/>
      <c r="K1" s="1116"/>
      <c r="L1" s="1116"/>
      <c r="M1" s="1116"/>
    </row>
    <row r="2" spans="1:22" ht="20.399999999999999">
      <c r="B2" s="1789" t="str">
        <f>"DEBT  SERVICE  FOR  "&amp;UPPER('KEY INPUTS'!D55)&amp;"  UTILITY  NOTES  (OTHER  THAN  UTILITY  ASSESSMENT  NOTES)"</f>
        <v>DEBT  SERVICE  FOR    UTILITY  NOTES  (OTHER  THAN  UTILITY  ASSESSMENT  NOTES)</v>
      </c>
      <c r="C2" s="1789"/>
      <c r="D2" s="1789"/>
      <c r="E2" s="1789"/>
      <c r="F2" s="1789"/>
      <c r="G2" s="1789"/>
      <c r="H2" s="1789"/>
      <c r="I2" s="1789"/>
      <c r="J2" s="1789"/>
      <c r="K2" s="1789"/>
      <c r="L2" s="1789"/>
      <c r="M2" s="1789"/>
    </row>
    <row r="3" spans="1:22" ht="21" thickBot="1">
      <c r="B3" s="1789"/>
      <c r="C3" s="1789"/>
      <c r="D3" s="1789"/>
      <c r="E3" s="1789"/>
      <c r="F3" s="1789"/>
      <c r="G3" s="1789"/>
      <c r="H3" s="1789"/>
      <c r="I3" s="1789"/>
      <c r="J3" s="1789"/>
      <c r="K3" s="1789"/>
      <c r="L3" s="1789"/>
      <c r="M3" s="1789"/>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71"/>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c r="B9" s="537" t="s">
        <v>384</v>
      </c>
      <c r="C9" s="676"/>
      <c r="D9" s="677"/>
      <c r="E9" s="618"/>
      <c r="F9" s="678"/>
      <c r="G9" s="618"/>
      <c r="H9" s="679"/>
      <c r="I9" s="620"/>
      <c r="J9" s="618"/>
      <c r="K9" s="618"/>
      <c r="L9" s="629"/>
      <c r="M9" s="680"/>
      <c r="P9" s="322"/>
      <c r="Q9" s="322"/>
      <c r="R9" s="322"/>
      <c r="S9" s="322"/>
      <c r="T9" s="322"/>
      <c r="U9" s="322"/>
      <c r="V9" s="322"/>
    </row>
    <row r="10" spans="1:22" ht="21" customHeight="1">
      <c r="B10" s="536" t="s">
        <v>385</v>
      </c>
      <c r="C10" s="681"/>
      <c r="D10" s="652"/>
      <c r="E10" s="601"/>
      <c r="F10" s="682"/>
      <c r="G10" s="601"/>
      <c r="H10" s="601"/>
      <c r="I10" s="683"/>
      <c r="J10" s="684"/>
      <c r="K10" s="601"/>
      <c r="L10" s="631"/>
      <c r="M10" s="685"/>
      <c r="N10" s="398" t="s">
        <v>3408</v>
      </c>
      <c r="O10" s="398" t="s">
        <v>3408</v>
      </c>
      <c r="P10" s="377"/>
      <c r="Q10" s="322"/>
      <c r="R10" s="322"/>
      <c r="S10" s="322"/>
      <c r="T10" s="322"/>
      <c r="U10" s="322"/>
      <c r="V10" s="322"/>
    </row>
    <row r="11" spans="1:22" ht="21" customHeight="1">
      <c r="B11" s="536" t="s">
        <v>386</v>
      </c>
      <c r="C11" s="648"/>
      <c r="D11" s="652"/>
      <c r="E11" s="601"/>
      <c r="F11" s="686"/>
      <c r="G11" s="601"/>
      <c r="H11" s="601"/>
      <c r="I11" s="623"/>
      <c r="J11" s="601"/>
      <c r="K11" s="601"/>
      <c r="L11" s="631"/>
      <c r="M11" s="685"/>
      <c r="P11" s="322"/>
      <c r="Q11" s="322"/>
      <c r="R11" s="322"/>
      <c r="S11" s="322"/>
      <c r="T11" s="322"/>
      <c r="U11" s="322"/>
      <c r="V11" s="322"/>
    </row>
    <row r="12" spans="1:22" ht="21" customHeight="1">
      <c r="B12" s="536" t="s">
        <v>387</v>
      </c>
      <c r="C12" s="648"/>
      <c r="D12" s="652"/>
      <c r="E12" s="601"/>
      <c r="F12" s="686"/>
      <c r="G12" s="601"/>
      <c r="H12" s="601"/>
      <c r="I12" s="623"/>
      <c r="J12" s="601"/>
      <c r="K12" s="601"/>
      <c r="L12" s="631"/>
      <c r="M12" s="685"/>
      <c r="P12" s="322"/>
      <c r="Q12" s="322"/>
      <c r="R12" s="322"/>
      <c r="S12" s="322"/>
      <c r="T12" s="322"/>
      <c r="U12" s="322"/>
      <c r="V12" s="322"/>
    </row>
    <row r="13" spans="1:22" ht="21" customHeight="1">
      <c r="B13" s="536" t="s">
        <v>388</v>
      </c>
      <c r="C13" s="648"/>
      <c r="D13" s="652"/>
      <c r="E13" s="601"/>
      <c r="F13" s="686"/>
      <c r="G13" s="601"/>
      <c r="H13" s="601"/>
      <c r="I13" s="623"/>
      <c r="J13" s="601"/>
      <c r="K13" s="601"/>
      <c r="L13" s="631"/>
      <c r="M13" s="685"/>
      <c r="P13" s="322"/>
      <c r="Q13" s="322"/>
      <c r="R13" s="322"/>
      <c r="S13" s="322"/>
      <c r="T13" s="322"/>
      <c r="U13" s="322"/>
      <c r="V13" s="322"/>
    </row>
    <row r="14" spans="1:22" ht="21" customHeight="1">
      <c r="B14" s="536" t="s">
        <v>389</v>
      </c>
      <c r="C14" s="648"/>
      <c r="D14" s="652"/>
      <c r="E14" s="604"/>
      <c r="F14" s="687"/>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686"/>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686"/>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686"/>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0</v>
      </c>
      <c r="F18" s="693"/>
      <c r="G18" s="690">
        <f>SUM(G9:G17)</f>
        <v>0</v>
      </c>
      <c r="H18" s="690"/>
      <c r="I18" s="694"/>
      <c r="J18" s="690">
        <f>SUM(J9:J17)</f>
        <v>0</v>
      </c>
      <c r="K18" s="690">
        <f>SUM(K9:K17)</f>
        <v>0</v>
      </c>
      <c r="L18" s="695"/>
      <c r="M18" s="696"/>
      <c r="P18" s="322"/>
      <c r="Q18" s="322"/>
      <c r="R18" s="322"/>
      <c r="S18" s="322"/>
      <c r="T18" s="322"/>
      <c r="U18" s="322"/>
      <c r="V18" s="322"/>
    </row>
    <row r="19" spans="1:22" ht="21" customHeight="1">
      <c r="A19" s="535"/>
      <c r="B19" s="1354"/>
      <c r="C19" s="1194"/>
      <c r="D19" s="1194"/>
      <c r="E19" s="1355"/>
      <c r="F19" s="1194"/>
      <c r="G19" s="1355"/>
      <c r="H19" s="1355"/>
      <c r="I19" s="1356"/>
      <c r="J19" s="1355"/>
      <c r="K19" s="1355"/>
      <c r="L19" s="1355"/>
      <c r="M19" s="1194"/>
      <c r="P19" s="322"/>
      <c r="Q19" s="322"/>
      <c r="R19" s="322"/>
      <c r="S19" s="322"/>
      <c r="T19" s="322"/>
      <c r="U19" s="322"/>
      <c r="V19" s="322"/>
    </row>
    <row r="20" spans="1:22" ht="21" customHeight="1">
      <c r="A20" s="535"/>
      <c r="B20" s="1354"/>
      <c r="C20" s="1194"/>
      <c r="D20" s="1194"/>
      <c r="E20" s="1355"/>
      <c r="F20" s="1194"/>
      <c r="G20" s="1355"/>
      <c r="H20" s="1355"/>
      <c r="I20" s="1356"/>
      <c r="J20" s="1355"/>
      <c r="K20" s="1355"/>
      <c r="L20" s="1355"/>
      <c r="M20" s="1194"/>
      <c r="P20" s="322"/>
      <c r="Q20" s="322"/>
      <c r="R20" s="322"/>
      <c r="S20" s="322"/>
      <c r="T20" s="322"/>
      <c r="U20" s="322"/>
      <c r="V20" s="322"/>
    </row>
    <row r="21" spans="1:22" ht="13.5" customHeight="1" thickBot="1">
      <c r="B21" s="1357"/>
      <c r="C21" s="1358"/>
      <c r="D21" s="1359"/>
      <c r="E21" s="1194"/>
      <c r="F21" s="1194"/>
      <c r="G21" s="1194"/>
      <c r="H21" s="1194"/>
      <c r="I21" s="1194"/>
      <c r="J21" s="1360"/>
      <c r="K21" s="1194"/>
      <c r="L21" s="1194"/>
      <c r="M21" s="1194"/>
      <c r="P21" s="322"/>
      <c r="Q21" s="322"/>
      <c r="R21" s="322"/>
      <c r="S21" s="322"/>
      <c r="T21" s="322"/>
      <c r="U21" s="322"/>
      <c r="V21" s="322"/>
    </row>
    <row r="22" spans="1:22" ht="14.4" thickTop="1" thickBot="1">
      <c r="B22" s="1222" t="s">
        <v>44</v>
      </c>
      <c r="C22" s="1121"/>
      <c r="D22" s="1361"/>
      <c r="E22" s="1121"/>
      <c r="F22" s="1116"/>
      <c r="G22" s="1116"/>
      <c r="H22" s="1116"/>
      <c r="I22" s="1861" t="str">
        <f>"INTEREST  ON  NOTES  -  "&amp;UPPER('KEY INPUTS'!D55)&amp;" UTILITY  BUDGET"</f>
        <v>INTEREST  ON  NOTES  -   UTILITY  BUDGET</v>
      </c>
      <c r="J22" s="1862"/>
      <c r="K22" s="1862"/>
      <c r="L22" s="1862"/>
      <c r="M22" s="1863"/>
      <c r="P22" s="322"/>
      <c r="Q22" s="322"/>
      <c r="R22" s="322"/>
      <c r="S22" s="322"/>
      <c r="T22" s="322"/>
      <c r="U22" s="322"/>
      <c r="V22" s="322"/>
    </row>
    <row r="23" spans="1:22" ht="15.6" customHeight="1">
      <c r="B23" s="1362" t="s">
        <v>45</v>
      </c>
      <c r="C23" s="1362"/>
      <c r="D23" s="1222" t="s">
        <v>46</v>
      </c>
      <c r="E23" s="1121"/>
      <c r="F23" s="1116"/>
      <c r="G23" s="1116"/>
      <c r="H23" s="1116"/>
      <c r="I23" s="1363" t="str">
        <f>TEXT('KEY INPUTS'!D34+1,"0")&amp;"  Interest on Notes"</f>
        <v>2020  Interest on Notes</v>
      </c>
      <c r="J23" s="1193"/>
      <c r="K23" s="1193"/>
      <c r="L23" s="1364" t="s">
        <v>482</v>
      </c>
      <c r="M23" s="1236">
        <f>K18</f>
        <v>0</v>
      </c>
      <c r="P23" s="322"/>
      <c r="Q23" s="322"/>
      <c r="R23" s="322"/>
      <c r="S23" s="322"/>
      <c r="T23" s="322"/>
      <c r="U23" s="322"/>
      <c r="V23" s="322"/>
    </row>
    <row r="24" spans="1:22" ht="15.6" customHeight="1">
      <c r="B24" s="1222"/>
      <c r="C24" s="1222"/>
      <c r="D24" s="1362" t="s">
        <v>47</v>
      </c>
      <c r="E24" s="1121"/>
      <c r="F24" s="1116"/>
      <c r="G24" s="1116"/>
      <c r="H24" s="1116"/>
      <c r="I24" s="1417" t="str">
        <f>"Less: Interest Accrued to "&amp;TEXT('KEY INPUTS'!D29,"mm/dd/yyyy")&amp;" (Trial Balance)"</f>
        <v>Less: Interest Accrued to 12/31/2019 (Trial Balance)</v>
      </c>
      <c r="J24" s="691"/>
      <c r="K24" s="691"/>
      <c r="L24" s="524" t="s">
        <v>482</v>
      </c>
      <c r="M24" s="742"/>
      <c r="P24" s="322"/>
      <c r="Q24" s="322"/>
      <c r="R24" s="322"/>
      <c r="S24" s="322"/>
      <c r="T24" s="322"/>
      <c r="U24" s="322"/>
      <c r="V24" s="322"/>
    </row>
    <row r="25" spans="1:22" ht="15.6" customHeight="1">
      <c r="B25" s="1222"/>
      <c r="C25" s="1222"/>
      <c r="D25" s="1222" t="s">
        <v>48</v>
      </c>
      <c r="E25" s="1121"/>
      <c r="F25" s="1116"/>
      <c r="G25" s="1116"/>
      <c r="H25" s="1116"/>
      <c r="I25" s="1123"/>
      <c r="J25" s="691" t="s">
        <v>421</v>
      </c>
      <c r="K25" s="691"/>
      <c r="L25" s="524" t="s">
        <v>482</v>
      </c>
      <c r="M25" s="1237">
        <f>+M23-M24</f>
        <v>0</v>
      </c>
    </row>
    <row r="26" spans="1:22" ht="15.6" customHeight="1">
      <c r="B26" s="1222"/>
      <c r="C26" s="1222"/>
      <c r="D26" s="1222" t="str">
        <f>"All notes with an original date of issue of 2016"&amp;" or prior require one legally payable installment to be budgeted if it"</f>
        <v>All notes with an original date of issue of 2016 or prior require one legally payable installment to be budgeted if it</v>
      </c>
      <c r="E26" s="1121"/>
      <c r="F26" s="1116"/>
      <c r="G26" s="1116"/>
      <c r="H26" s="1116"/>
      <c r="I26" s="1417" t="str">
        <f>"Add: Interest to be Accrued as of "&amp;TEXT('KEY INPUTS'!D29,"mm/dd/yyyy")&amp;""</f>
        <v>Add: Interest to be Accrued as of 12/31/2019</v>
      </c>
      <c r="J26" s="691"/>
      <c r="K26" s="691"/>
      <c r="L26" s="524" t="s">
        <v>482</v>
      </c>
      <c r="M26" s="742"/>
    </row>
    <row r="27" spans="1:22" ht="15.6" customHeight="1" thickBot="1">
      <c r="B27" s="1222"/>
      <c r="C27" s="1222"/>
      <c r="D27" s="1222" t="str">
        <f>"is contemplated that such notes will be renewed in "&amp;TEXT('KEY INPUTS'!D34+1,"0")&amp;" or written intent of permanent financing submitted."</f>
        <v>is contemplated that such notes will be renewed in 2020 or written intent of permanent financing submitted.</v>
      </c>
      <c r="E27" s="1121"/>
      <c r="F27" s="1116"/>
      <c r="G27" s="1116"/>
      <c r="H27" s="1116"/>
      <c r="I27" s="1418" t="str">
        <f>"Required Appropriation - "&amp;TEXT('KEY INPUTS'!D34+1,"0")&amp;""</f>
        <v>Required Appropriation - 2020</v>
      </c>
      <c r="J27" s="1171"/>
      <c r="K27" s="1171"/>
      <c r="L27" s="522" t="s">
        <v>482</v>
      </c>
      <c r="M27" s="1238">
        <f>+M25+M26</f>
        <v>0</v>
      </c>
    </row>
    <row r="28" spans="1:22" ht="13.8" thickTop="1">
      <c r="B28" s="1222"/>
      <c r="C28" s="1222"/>
      <c r="D28" s="1222" t="s">
        <v>49</v>
      </c>
      <c r="E28" s="1121"/>
      <c r="F28" s="1116"/>
      <c r="G28" s="1116"/>
      <c r="H28" s="1116"/>
      <c r="I28" s="1116"/>
    </row>
    <row r="29" spans="1:22">
      <c r="B29" s="1121"/>
      <c r="C29" s="1121"/>
      <c r="D29" s="1362" t="s">
        <v>50</v>
      </c>
      <c r="E29" s="1121"/>
      <c r="F29" s="1116"/>
      <c r="G29" s="1116"/>
      <c r="H29" s="1116"/>
      <c r="I29" s="1116"/>
    </row>
    <row r="30" spans="1:22">
      <c r="J30" s="518" t="s">
        <v>127</v>
      </c>
    </row>
  </sheetData>
  <sheetProtection algorithmName="SHA-512" hashValue="7jxeYRHLmSIjHh+DevjqQw3XQFcbbhlhFHp5yVJQlo5hByjA2Mpw9MCVPwicABI0fy23USzWUwmOhxe7XPGbxQ==" saltValue="bWLEdLvRz0CAsaXqrMFvM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8">
    <tabColor theme="2" tint="-0.249977111117893"/>
  </sheetPr>
  <dimension ref="A1: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1" spans="1:20">
      <c r="B1" s="1148"/>
      <c r="C1" s="1148"/>
      <c r="D1" s="1148"/>
      <c r="E1" s="1148"/>
      <c r="F1" s="1148"/>
      <c r="G1" s="1148"/>
      <c r="H1" s="1148"/>
      <c r="I1" s="1148"/>
      <c r="J1" s="1148"/>
      <c r="K1" s="1148"/>
      <c r="L1" s="1148"/>
    </row>
    <row r="2" spans="1:20" ht="20.399999999999999">
      <c r="B2" s="1789" t="str">
        <f>"DEBT  SERVICE  SCHEDULE  FOR  "&amp;UPPER('KEY INPUTS'!D55) &amp;"  UTILITY  ASSESSMENT  NOTES"</f>
        <v>DEBT  SERVICE  SCHEDULE  FOR    UTILITY  ASSESSMENT  NOTES</v>
      </c>
      <c r="C2" s="1789"/>
      <c r="D2" s="1789"/>
      <c r="E2" s="1789"/>
      <c r="F2" s="1789"/>
      <c r="G2" s="1789"/>
      <c r="H2" s="1789"/>
      <c r="I2" s="1789"/>
      <c r="J2" s="1789"/>
      <c r="K2" s="1789"/>
      <c r="L2" s="1789"/>
    </row>
    <row r="3" spans="1:20" ht="21" thickBot="1">
      <c r="B3" s="1871"/>
      <c r="C3" s="1871"/>
      <c r="D3" s="1871"/>
      <c r="E3" s="1871"/>
      <c r="F3" s="1871"/>
      <c r="G3" s="1871"/>
      <c r="H3" s="1871"/>
      <c r="I3" s="1871"/>
      <c r="J3" s="1871"/>
      <c r="K3" s="1871"/>
      <c r="L3" s="1871"/>
    </row>
    <row r="4" spans="1:20" ht="13.5" customHeight="1" thickTop="1">
      <c r="B4" s="1944"/>
      <c r="C4" s="1944"/>
      <c r="D4" s="1945"/>
      <c r="E4" s="1240"/>
      <c r="F4" s="1145"/>
      <c r="G4" s="1145"/>
      <c r="H4" s="1145"/>
      <c r="I4" s="1145"/>
      <c r="J4" s="1144"/>
      <c r="K4" s="1144"/>
      <c r="L4" s="1147"/>
    </row>
    <row r="5" spans="1:20" ht="13.5" customHeight="1">
      <c r="B5" s="1148"/>
      <c r="C5" s="1148"/>
      <c r="D5" s="1148"/>
      <c r="E5" s="1149" t="s">
        <v>176</v>
      </c>
      <c r="F5" s="1153" t="s">
        <v>176</v>
      </c>
      <c r="G5" s="1153" t="s">
        <v>533</v>
      </c>
      <c r="H5" s="1153" t="s">
        <v>18</v>
      </c>
      <c r="I5" s="1153" t="s">
        <v>685</v>
      </c>
      <c r="J5" s="1867">
        <f>'KEY INPUTS'!D33</f>
        <v>2020</v>
      </c>
      <c r="K5" s="1868"/>
      <c r="L5" s="1151" t="s">
        <v>686</v>
      </c>
    </row>
    <row r="6" spans="1:20" ht="13.5" customHeight="1">
      <c r="B6" s="1148"/>
      <c r="C6" s="1788" t="s">
        <v>175</v>
      </c>
      <c r="D6" s="1872"/>
      <c r="E6" s="1149" t="s">
        <v>533</v>
      </c>
      <c r="F6" s="1153" t="s">
        <v>177</v>
      </c>
      <c r="G6" s="1153" t="s">
        <v>682</v>
      </c>
      <c r="H6" s="1153" t="s">
        <v>683</v>
      </c>
      <c r="I6" s="1153" t="s">
        <v>683</v>
      </c>
      <c r="J6" s="1869"/>
      <c r="K6" s="1870"/>
      <c r="L6" s="1151" t="s">
        <v>689</v>
      </c>
    </row>
    <row r="7" spans="1:20" ht="13.5" customHeight="1">
      <c r="B7" s="1148"/>
      <c r="C7" s="1148"/>
      <c r="D7" s="1148"/>
      <c r="E7" s="1149" t="s">
        <v>113</v>
      </c>
      <c r="F7" s="1149" t="s">
        <v>178</v>
      </c>
      <c r="G7" s="1149" t="s">
        <v>257</v>
      </c>
      <c r="H7" s="1149" t="s">
        <v>684</v>
      </c>
      <c r="I7" s="1149" t="s">
        <v>686</v>
      </c>
      <c r="J7" s="1149" t="s">
        <v>142</v>
      </c>
      <c r="K7" s="1149" t="s">
        <v>687</v>
      </c>
      <c r="L7" s="1151" t="s">
        <v>690</v>
      </c>
      <c r="N7" s="322"/>
      <c r="O7" s="322"/>
      <c r="P7" s="322"/>
      <c r="Q7" s="322"/>
      <c r="R7" s="322"/>
      <c r="S7" s="322"/>
      <c r="T7" s="322"/>
    </row>
    <row r="8" spans="1:20" ht="13.5" customHeight="1" thickBot="1">
      <c r="B8" s="1155"/>
      <c r="C8" s="1155"/>
      <c r="D8" s="1155"/>
      <c r="E8" s="1156"/>
      <c r="F8" s="1156"/>
      <c r="G8" s="1366" t="str">
        <f>'KEY INPUTS'!D46</f>
        <v>Dec. 31, 2019</v>
      </c>
      <c r="H8" s="1156"/>
      <c r="I8" s="1156"/>
      <c r="J8" s="1157"/>
      <c r="K8" s="1257" t="s">
        <v>688</v>
      </c>
      <c r="L8" s="1159"/>
      <c r="N8" s="322"/>
      <c r="O8" s="322"/>
      <c r="P8" s="322"/>
      <c r="Q8" s="322"/>
      <c r="R8" s="322"/>
      <c r="S8" s="322"/>
      <c r="T8" s="322"/>
    </row>
    <row r="9" spans="1:20" ht="21" customHeight="1" thickTop="1">
      <c r="B9" s="1875"/>
      <c r="C9" s="1875"/>
      <c r="D9" s="1876"/>
      <c r="E9" s="605"/>
      <c r="F9" s="799"/>
      <c r="G9" s="605"/>
      <c r="H9" s="605"/>
      <c r="I9" s="800"/>
      <c r="J9" s="605"/>
      <c r="K9" s="605"/>
      <c r="L9" s="801"/>
      <c r="N9" s="377"/>
      <c r="O9" s="322"/>
      <c r="P9" s="322"/>
      <c r="Q9" s="322"/>
      <c r="R9" s="322"/>
      <c r="S9" s="322"/>
      <c r="T9" s="322"/>
    </row>
    <row r="10" spans="1:20" ht="21" customHeight="1">
      <c r="B10" s="1877"/>
      <c r="C10" s="1877"/>
      <c r="D10" s="1878"/>
      <c r="E10" s="601"/>
      <c r="F10" s="686"/>
      <c r="G10" s="601"/>
      <c r="H10" s="601"/>
      <c r="I10" s="623"/>
      <c r="J10" s="601"/>
      <c r="K10" s="601"/>
      <c r="L10" s="700"/>
      <c r="N10" s="322"/>
      <c r="O10" s="322"/>
      <c r="P10" s="322"/>
      <c r="Q10" s="322"/>
      <c r="R10" s="322"/>
      <c r="S10" s="322"/>
      <c r="T10" s="322"/>
    </row>
    <row r="11" spans="1:20" ht="21" customHeight="1">
      <c r="B11" s="1877"/>
      <c r="C11" s="1877"/>
      <c r="D11" s="1878"/>
      <c r="E11" s="601"/>
      <c r="F11" s="686"/>
      <c r="G11" s="601"/>
      <c r="H11" s="601"/>
      <c r="I11" s="623"/>
      <c r="J11" s="601"/>
      <c r="K11" s="601"/>
      <c r="L11" s="700"/>
      <c r="N11" s="322"/>
      <c r="O11" s="322"/>
      <c r="P11" s="322"/>
      <c r="Q11" s="322"/>
      <c r="R11" s="322"/>
      <c r="S11" s="322"/>
      <c r="T11" s="322"/>
    </row>
    <row r="12" spans="1:20" ht="21" customHeight="1">
      <c r="B12" s="1877"/>
      <c r="C12" s="1877"/>
      <c r="D12" s="1878"/>
      <c r="E12" s="601"/>
      <c r="F12" s="686"/>
      <c r="G12" s="601"/>
      <c r="H12" s="601"/>
      <c r="I12" s="623"/>
      <c r="J12" s="601"/>
      <c r="K12" s="601"/>
      <c r="L12" s="700"/>
      <c r="N12" s="322"/>
      <c r="O12" s="322"/>
      <c r="P12" s="322"/>
      <c r="Q12" s="322"/>
      <c r="R12" s="322"/>
      <c r="S12" s="322"/>
      <c r="T12" s="322"/>
    </row>
    <row r="13" spans="1:20" ht="21" customHeight="1">
      <c r="B13" s="1877"/>
      <c r="C13" s="1877"/>
      <c r="D13" s="1878"/>
      <c r="E13" s="601"/>
      <c r="F13" s="686"/>
      <c r="G13" s="601"/>
      <c r="H13" s="601"/>
      <c r="I13" s="623"/>
      <c r="J13" s="601"/>
      <c r="K13" s="601"/>
      <c r="L13" s="700"/>
      <c r="N13" s="322"/>
      <c r="O13" s="322"/>
      <c r="P13" s="322"/>
      <c r="Q13" s="322"/>
      <c r="R13" s="322"/>
      <c r="S13" s="322"/>
      <c r="T13" s="322"/>
    </row>
    <row r="14" spans="1:20" ht="21" customHeight="1">
      <c r="B14" s="1877"/>
      <c r="C14" s="1877"/>
      <c r="D14" s="1878"/>
      <c r="E14" s="604"/>
      <c r="F14" s="687"/>
      <c r="G14" s="604"/>
      <c r="H14" s="604"/>
      <c r="I14" s="626"/>
      <c r="J14" s="601"/>
      <c r="K14" s="601"/>
      <c r="L14" s="700"/>
      <c r="N14" s="322"/>
      <c r="O14" s="322"/>
      <c r="P14" s="322"/>
      <c r="Q14" s="322"/>
      <c r="R14" s="322"/>
      <c r="S14" s="322"/>
      <c r="T14" s="322"/>
    </row>
    <row r="15" spans="1:20" ht="21" customHeight="1">
      <c r="A15" s="1793" t="s">
        <v>3449</v>
      </c>
      <c r="B15" s="1877"/>
      <c r="C15" s="1877"/>
      <c r="D15" s="1878"/>
      <c r="E15" s="601"/>
      <c r="F15" s="686"/>
      <c r="G15" s="601"/>
      <c r="H15" s="601"/>
      <c r="I15" s="623"/>
      <c r="J15" s="601"/>
      <c r="K15" s="601"/>
      <c r="L15" s="700"/>
      <c r="N15" s="322"/>
      <c r="O15" s="322"/>
      <c r="P15" s="322"/>
      <c r="Q15" s="322"/>
      <c r="R15" s="322"/>
      <c r="S15" s="322"/>
      <c r="T15" s="322"/>
    </row>
    <row r="16" spans="1:20" ht="21" customHeight="1">
      <c r="A16" s="1793"/>
      <c r="B16" s="1877"/>
      <c r="C16" s="1877"/>
      <c r="D16" s="1878"/>
      <c r="E16" s="601"/>
      <c r="F16" s="686"/>
      <c r="G16" s="601"/>
      <c r="H16" s="601"/>
      <c r="I16" s="623"/>
      <c r="J16" s="601"/>
      <c r="K16" s="601"/>
      <c r="L16" s="700"/>
      <c r="N16" s="322"/>
      <c r="O16" s="322"/>
      <c r="P16" s="322"/>
      <c r="Q16" s="322"/>
      <c r="R16" s="322"/>
      <c r="S16" s="322"/>
      <c r="T16" s="322"/>
    </row>
    <row r="17" spans="1:20" ht="21" customHeight="1">
      <c r="A17" s="1793"/>
      <c r="B17" s="1877"/>
      <c r="C17" s="1877"/>
      <c r="D17" s="1878"/>
      <c r="E17" s="601"/>
      <c r="F17" s="686"/>
      <c r="G17" s="601"/>
      <c r="H17" s="601"/>
      <c r="I17" s="623"/>
      <c r="J17" s="601"/>
      <c r="K17" s="601"/>
      <c r="L17" s="700"/>
      <c r="N17" s="322"/>
      <c r="O17" s="322"/>
      <c r="P17" s="322"/>
      <c r="Q17" s="322"/>
      <c r="R17" s="322"/>
      <c r="S17" s="322"/>
      <c r="T17" s="322"/>
    </row>
    <row r="18" spans="1:20" ht="21" customHeight="1">
      <c r="A18" s="545"/>
      <c r="B18" s="1877"/>
      <c r="C18" s="1877"/>
      <c r="D18" s="1878"/>
      <c r="E18" s="601"/>
      <c r="F18" s="686"/>
      <c r="G18" s="601"/>
      <c r="H18" s="601"/>
      <c r="I18" s="623"/>
      <c r="J18" s="601"/>
      <c r="K18" s="601"/>
      <c r="L18" s="700"/>
      <c r="N18" s="322"/>
      <c r="O18" s="322"/>
      <c r="P18" s="322"/>
      <c r="Q18" s="322"/>
      <c r="R18" s="322"/>
      <c r="S18" s="322"/>
      <c r="T18" s="322"/>
    </row>
    <row r="19" spans="1:20" ht="21" customHeight="1">
      <c r="B19" s="1877"/>
      <c r="C19" s="1877"/>
      <c r="D19" s="1878"/>
      <c r="E19" s="601"/>
      <c r="F19" s="686"/>
      <c r="G19" s="601"/>
      <c r="H19" s="601"/>
      <c r="I19" s="623"/>
      <c r="J19" s="601"/>
      <c r="K19" s="601"/>
      <c r="L19" s="700"/>
      <c r="N19" s="322"/>
      <c r="O19" s="322"/>
      <c r="P19" s="322"/>
      <c r="Q19" s="322"/>
      <c r="R19" s="322"/>
      <c r="S19" s="322"/>
      <c r="T19" s="322"/>
    </row>
    <row r="20" spans="1:20" ht="21" customHeight="1">
      <c r="B20" s="1877"/>
      <c r="C20" s="1877"/>
      <c r="D20" s="1878"/>
      <c r="E20" s="601"/>
      <c r="F20" s="686"/>
      <c r="G20" s="601"/>
      <c r="H20" s="601"/>
      <c r="I20" s="623"/>
      <c r="J20" s="601"/>
      <c r="K20" s="601"/>
      <c r="L20" s="700"/>
      <c r="N20" s="322"/>
      <c r="O20" s="322"/>
      <c r="P20" s="322"/>
      <c r="Q20" s="322"/>
      <c r="R20" s="322"/>
      <c r="S20" s="322"/>
      <c r="T20" s="322"/>
    </row>
    <row r="21" spans="1:20" ht="21" customHeight="1">
      <c r="B21" s="1877"/>
      <c r="C21" s="1877"/>
      <c r="D21" s="1878"/>
      <c r="E21" s="601"/>
      <c r="F21" s="686"/>
      <c r="G21" s="601"/>
      <c r="H21" s="601"/>
      <c r="I21" s="623"/>
      <c r="J21" s="601"/>
      <c r="K21" s="601"/>
      <c r="L21" s="700"/>
      <c r="N21" s="322"/>
      <c r="O21" s="322"/>
      <c r="P21" s="322"/>
      <c r="Q21" s="322"/>
      <c r="R21" s="322"/>
      <c r="S21" s="322"/>
      <c r="T21" s="322"/>
    </row>
    <row r="22" spans="1:20" ht="21" customHeight="1">
      <c r="B22" s="1877"/>
      <c r="C22" s="1877"/>
      <c r="D22" s="1878"/>
      <c r="E22" s="601"/>
      <c r="F22" s="686"/>
      <c r="G22" s="601"/>
      <c r="H22" s="601"/>
      <c r="I22" s="623"/>
      <c r="J22" s="601"/>
      <c r="K22" s="601"/>
      <c r="L22" s="700"/>
      <c r="N22" s="322"/>
      <c r="O22" s="322"/>
      <c r="P22" s="322"/>
      <c r="Q22" s="322"/>
      <c r="R22" s="322"/>
      <c r="S22" s="322"/>
      <c r="T22" s="322"/>
    </row>
    <row r="23" spans="1:20" ht="21" customHeight="1" thickBot="1">
      <c r="B23" s="1474"/>
      <c r="C23" s="1475"/>
      <c r="D23" s="1476"/>
      <c r="E23" s="1367">
        <f>SUM(E9:E22)</f>
        <v>0</v>
      </c>
      <c r="F23" s="1421"/>
      <c r="G23" s="1367">
        <f>SUM(G9:G22)</f>
        <v>0</v>
      </c>
      <c r="H23" s="1367"/>
      <c r="I23" s="1367"/>
      <c r="J23" s="1367">
        <f>SUM(J9:J22)</f>
        <v>0</v>
      </c>
      <c r="K23" s="1367">
        <f>SUM(K9:K22)</f>
        <v>0</v>
      </c>
      <c r="L23" s="1422"/>
      <c r="N23" s="322"/>
      <c r="O23" s="322"/>
      <c r="P23" s="322"/>
      <c r="Q23" s="322"/>
      <c r="R23" s="322"/>
      <c r="S23" s="322"/>
      <c r="T23" s="322"/>
    </row>
    <row r="24" spans="1:20" ht="13.5" customHeight="1" thickTop="1">
      <c r="B24" s="1368" t="s">
        <v>44</v>
      </c>
      <c r="C24" s="1369"/>
      <c r="D24" s="1370"/>
      <c r="E24" s="1148"/>
      <c r="F24" s="1148"/>
      <c r="G24" s="1148"/>
      <c r="H24" s="1148"/>
      <c r="I24" s="1148"/>
      <c r="J24" s="1371"/>
      <c r="K24" s="1371"/>
      <c r="L24" s="1148"/>
    </row>
    <row r="25" spans="1:20" ht="13.5" customHeight="1">
      <c r="B25" s="1368" t="s">
        <v>694</v>
      </c>
      <c r="C25" s="1369"/>
      <c r="D25" s="1370"/>
      <c r="E25" s="1148"/>
      <c r="F25" s="1148"/>
      <c r="G25" s="1148"/>
      <c r="H25" s="1148"/>
      <c r="I25" s="1148"/>
      <c r="J25" s="1148"/>
      <c r="K25" s="1148"/>
      <c r="L25" s="1148"/>
    </row>
    <row r="26" spans="1:20" ht="13.5" customHeight="1">
      <c r="B26" s="1368"/>
      <c r="C26" s="136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70"/>
      <c r="E26" s="1148"/>
      <c r="F26" s="1148"/>
      <c r="G26" s="1148"/>
      <c r="H26" s="1148"/>
      <c r="I26" s="1148"/>
      <c r="J26" s="1148"/>
      <c r="K26" s="1148"/>
      <c r="L26" s="1148"/>
    </row>
    <row r="27" spans="1:20" ht="13.5" customHeight="1">
      <c r="B27" s="1368"/>
      <c r="C27" s="1369"/>
      <c r="D27" s="1372" t="s">
        <v>644</v>
      </c>
      <c r="E27" s="1148"/>
      <c r="F27" s="1148"/>
      <c r="G27" s="1148"/>
      <c r="H27" s="1148"/>
      <c r="I27" s="1148"/>
      <c r="J27" s="1148"/>
      <c r="K27" s="1148"/>
      <c r="L27" s="1148"/>
    </row>
    <row r="28" spans="1:20" ht="13.5" customHeight="1">
      <c r="B28" s="1368"/>
      <c r="C28" s="1369" t="s">
        <v>394</v>
      </c>
      <c r="D28" s="1370"/>
      <c r="E28" s="1148"/>
      <c r="F28" s="1148"/>
      <c r="G28" s="1148"/>
      <c r="H28" s="1148"/>
      <c r="I28" s="1148"/>
      <c r="J28" s="1373"/>
      <c r="K28" s="1148"/>
      <c r="L28" s="1148"/>
    </row>
    <row r="29" spans="1:20">
      <c r="B29" s="541"/>
      <c r="C29" s="411"/>
      <c r="D29" s="411"/>
    </row>
  </sheetData>
  <sheetProtection algorithmName="SHA-512" hashValue="ORmcAtwowITPuPNIRcqpSkswZNVMKTCpCL+nr18x7aSfTJO16SCNrww+1SWxUhC9fHexPyPZFdfKjxJpYktlhw==" saltValue="5PjBFjSAahzVaTm7vOlOV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2:O52"/>
  <sheetViews>
    <sheetView topLeftCell="A4"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3642</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1"/>
      <c r="C5" s="1571"/>
      <c r="D5" s="1571"/>
      <c r="G5" s="734" t="s">
        <v>533</v>
      </c>
      <c r="I5" s="736"/>
      <c r="K5" s="736"/>
    </row>
    <row r="6" spans="2:15">
      <c r="B6" s="1571"/>
      <c r="C6" s="1571"/>
      <c r="D6" s="1571"/>
      <c r="G6" s="297" t="str">
        <f>'KEY INPUTS'!D45</f>
        <v>Dec. 31, 2018</v>
      </c>
      <c r="I6" s="734"/>
      <c r="K6" s="734"/>
      <c r="M6" s="734" t="s">
        <v>672</v>
      </c>
    </row>
    <row r="7" spans="2:15">
      <c r="G7" s="734" t="s">
        <v>552</v>
      </c>
      <c r="I7" s="734"/>
      <c r="K7" s="734"/>
      <c r="M7" s="734" t="s">
        <v>556</v>
      </c>
    </row>
    <row r="8" spans="2:15">
      <c r="B8" s="1571" t="s">
        <v>532</v>
      </c>
      <c r="C8" s="1571"/>
      <c r="D8" s="1571"/>
      <c r="G8" s="736" t="s">
        <v>551</v>
      </c>
      <c r="I8" s="736" t="s">
        <v>546</v>
      </c>
      <c r="K8" s="736" t="s">
        <v>678</v>
      </c>
      <c r="M8" s="294" t="str">
        <f>'KEY INPUTS'!D46</f>
        <v>Dec. 31, 2019</v>
      </c>
    </row>
    <row r="9" spans="2:15">
      <c r="B9" s="736"/>
      <c r="C9" s="736"/>
      <c r="D9" s="736"/>
      <c r="G9" s="250"/>
      <c r="I9" s="736"/>
      <c r="K9" s="736"/>
      <c r="M9" s="133"/>
    </row>
    <row r="10" spans="2:15" ht="21" customHeight="1">
      <c r="B10" s="858" t="s">
        <v>3540</v>
      </c>
      <c r="C10" s="859"/>
      <c r="D10" s="859"/>
      <c r="E10" s="859"/>
      <c r="F10" s="841"/>
      <c r="G10" s="860">
        <f>+'6b.2-Trust Fund Reserves'!G48</f>
        <v>4869244.87</v>
      </c>
      <c r="H10" s="841"/>
      <c r="I10" s="860">
        <f>+'6b.2-Trust Fund Reserves'!I48</f>
        <v>4146662.7600000002</v>
      </c>
      <c r="J10" s="841"/>
      <c r="K10" s="860">
        <f>+'6b.2-Trust Fund Reserves'!K48</f>
        <v>3351624.0200000005</v>
      </c>
      <c r="L10" s="841"/>
      <c r="M10" s="860">
        <f>+'6b.2-Trust Fund Reserves'!M48</f>
        <v>5664283.6099999994</v>
      </c>
      <c r="N10" s="325"/>
      <c r="O10" s="325"/>
    </row>
    <row r="11" spans="2:15" ht="21" customHeight="1">
      <c r="B11" s="375"/>
      <c r="C11" s="375"/>
      <c r="D11" s="375"/>
      <c r="E11" s="375"/>
      <c r="F11" s="397"/>
      <c r="G11" s="376"/>
      <c r="H11" s="397"/>
      <c r="I11" s="376"/>
      <c r="J11" s="397"/>
      <c r="K11" s="376"/>
      <c r="L11" s="379"/>
      <c r="M11" s="857">
        <f t="shared" ref="M11:M47" si="0">+G11+I11-K11</f>
        <v>0</v>
      </c>
      <c r="N11" s="325"/>
    </row>
    <row r="12" spans="2:15" ht="21" customHeight="1">
      <c r="B12" s="375"/>
      <c r="C12" s="375"/>
      <c r="D12" s="375"/>
      <c r="E12" s="375"/>
      <c r="F12" s="397"/>
      <c r="G12" s="376"/>
      <c r="H12" s="397"/>
      <c r="I12" s="376"/>
      <c r="J12" s="397"/>
      <c r="K12" s="376"/>
      <c r="L12" s="379"/>
      <c r="M12" s="857">
        <f t="shared" si="0"/>
        <v>0</v>
      </c>
      <c r="N12" s="325"/>
    </row>
    <row r="13" spans="2:15" ht="21" customHeight="1">
      <c r="B13" s="375"/>
      <c r="C13" s="375"/>
      <c r="D13" s="375"/>
      <c r="E13" s="375"/>
      <c r="F13" s="397"/>
      <c r="G13" s="376"/>
      <c r="H13" s="397"/>
      <c r="I13" s="666"/>
      <c r="J13" s="397"/>
      <c r="K13" s="376"/>
      <c r="L13" s="379"/>
      <c r="M13" s="857">
        <f t="shared" si="0"/>
        <v>0</v>
      </c>
      <c r="N13" s="325"/>
      <c r="O13" s="377"/>
    </row>
    <row r="14" spans="2:15" ht="21" customHeight="1">
      <c r="B14" s="667"/>
      <c r="C14" s="375"/>
      <c r="D14" s="375"/>
      <c r="E14" s="375"/>
      <c r="F14" s="397"/>
      <c r="G14" s="376"/>
      <c r="H14" s="397"/>
      <c r="I14" s="376"/>
      <c r="J14" s="397"/>
      <c r="K14" s="376"/>
      <c r="L14" s="379"/>
      <c r="M14" s="857">
        <f t="shared" si="0"/>
        <v>0</v>
      </c>
      <c r="N14" s="325"/>
    </row>
    <row r="15" spans="2:15" ht="21" customHeight="1">
      <c r="B15" s="375"/>
      <c r="C15" s="375"/>
      <c r="D15" s="375"/>
      <c r="E15" s="375"/>
      <c r="F15" s="397"/>
      <c r="G15" s="376"/>
      <c r="H15" s="397"/>
      <c r="I15" s="376"/>
      <c r="J15" s="397"/>
      <c r="K15" s="376"/>
      <c r="L15" s="379"/>
      <c r="M15" s="857">
        <f t="shared" si="0"/>
        <v>0</v>
      </c>
      <c r="N15" s="325"/>
    </row>
    <row r="16" spans="2:15" ht="21" customHeight="1">
      <c r="B16" s="375"/>
      <c r="C16" s="375"/>
      <c r="D16" s="375"/>
      <c r="E16" s="375"/>
      <c r="F16" s="397"/>
      <c r="G16" s="376"/>
      <c r="H16" s="397"/>
      <c r="I16" s="376"/>
      <c r="J16" s="397"/>
      <c r="K16" s="376"/>
      <c r="L16" s="379"/>
      <c r="M16" s="857">
        <f t="shared" si="0"/>
        <v>0</v>
      </c>
      <c r="N16" s="325"/>
    </row>
    <row r="17" spans="2:14" ht="21" customHeight="1">
      <c r="B17" s="375"/>
      <c r="C17" s="375"/>
      <c r="D17" s="375"/>
      <c r="E17" s="375"/>
      <c r="F17" s="397"/>
      <c r="G17" s="376"/>
      <c r="H17" s="397"/>
      <c r="I17" s="376"/>
      <c r="J17" s="397"/>
      <c r="K17" s="376"/>
      <c r="L17" s="379"/>
      <c r="M17" s="857">
        <f t="shared" si="0"/>
        <v>0</v>
      </c>
      <c r="N17" s="325"/>
    </row>
    <row r="18" spans="2:14" ht="21" customHeight="1">
      <c r="B18" s="375"/>
      <c r="C18" s="375"/>
      <c r="D18" s="375"/>
      <c r="E18" s="375"/>
      <c r="F18" s="397"/>
      <c r="G18" s="376"/>
      <c r="H18" s="397"/>
      <c r="I18" s="376"/>
      <c r="J18" s="397"/>
      <c r="K18" s="376"/>
      <c r="L18" s="379"/>
      <c r="M18" s="857">
        <f t="shared" si="0"/>
        <v>0</v>
      </c>
      <c r="N18" s="325"/>
    </row>
    <row r="19" spans="2:14" ht="21" customHeight="1">
      <c r="B19" s="667"/>
      <c r="C19" s="375"/>
      <c r="D19" s="375"/>
      <c r="E19" s="375"/>
      <c r="F19" s="397"/>
      <c r="G19" s="376"/>
      <c r="H19" s="397"/>
      <c r="I19" s="376"/>
      <c r="J19" s="397"/>
      <c r="K19" s="376"/>
      <c r="L19" s="379"/>
      <c r="M19" s="857">
        <f t="shared" si="0"/>
        <v>0</v>
      </c>
      <c r="N19" s="325"/>
    </row>
    <row r="20" spans="2:14" ht="21" customHeight="1">
      <c r="B20" s="667"/>
      <c r="C20" s="375"/>
      <c r="D20" s="375"/>
      <c r="E20" s="375"/>
      <c r="F20" s="397"/>
      <c r="G20" s="376"/>
      <c r="H20" s="397"/>
      <c r="I20" s="376"/>
      <c r="J20" s="397"/>
      <c r="K20" s="376"/>
      <c r="L20" s="379"/>
      <c r="M20" s="857">
        <f t="shared" si="0"/>
        <v>0</v>
      </c>
      <c r="N20" s="325"/>
    </row>
    <row r="21" spans="2:14" ht="21" customHeight="1">
      <c r="B21" s="667"/>
      <c r="C21" s="375"/>
      <c r="D21" s="375"/>
      <c r="E21" s="375"/>
      <c r="F21" s="397"/>
      <c r="G21" s="376"/>
      <c r="H21" s="397"/>
      <c r="I21" s="376"/>
      <c r="J21" s="397"/>
      <c r="K21" s="376"/>
      <c r="L21" s="379"/>
      <c r="M21" s="857">
        <f t="shared" si="0"/>
        <v>0</v>
      </c>
      <c r="N21" s="325"/>
    </row>
    <row r="22" spans="2:14" ht="21" customHeight="1">
      <c r="B22" s="667"/>
      <c r="C22" s="375"/>
      <c r="D22" s="375"/>
      <c r="E22" s="375"/>
      <c r="F22" s="397"/>
      <c r="G22" s="376"/>
      <c r="H22" s="397"/>
      <c r="I22" s="376"/>
      <c r="J22" s="397"/>
      <c r="K22" s="376"/>
      <c r="L22" s="379"/>
      <c r="M22" s="857">
        <f t="shared" si="0"/>
        <v>0</v>
      </c>
      <c r="N22" s="325"/>
    </row>
    <row r="23" spans="2:14" ht="21" customHeight="1">
      <c r="B23" s="667"/>
      <c r="C23" s="375"/>
      <c r="D23" s="375"/>
      <c r="E23" s="375"/>
      <c r="F23" s="397"/>
      <c r="G23" s="376"/>
      <c r="H23" s="397"/>
      <c r="I23" s="376"/>
      <c r="J23" s="397"/>
      <c r="K23" s="376"/>
      <c r="L23" s="379"/>
      <c r="M23" s="857">
        <f t="shared" si="0"/>
        <v>0</v>
      </c>
      <c r="N23" s="325"/>
    </row>
    <row r="24" spans="2:14" ht="21" customHeight="1">
      <c r="B24" s="667"/>
      <c r="C24" s="375"/>
      <c r="D24" s="375"/>
      <c r="E24" s="375"/>
      <c r="F24" s="397"/>
      <c r="G24" s="376"/>
      <c r="H24" s="397"/>
      <c r="I24" s="376"/>
      <c r="J24" s="397"/>
      <c r="K24" s="376"/>
      <c r="L24" s="379"/>
      <c r="M24" s="857">
        <f t="shared" si="0"/>
        <v>0</v>
      </c>
      <c r="N24" s="325"/>
    </row>
    <row r="25" spans="2:14" ht="21" customHeight="1">
      <c r="B25" s="375"/>
      <c r="C25" s="375"/>
      <c r="D25" s="375"/>
      <c r="E25" s="375"/>
      <c r="F25" s="397"/>
      <c r="G25" s="376"/>
      <c r="H25" s="397"/>
      <c r="I25" s="376"/>
      <c r="J25" s="397"/>
      <c r="K25" s="376"/>
      <c r="L25" s="379"/>
      <c r="M25" s="857">
        <f t="shared" si="0"/>
        <v>0</v>
      </c>
      <c r="N25" s="325"/>
    </row>
    <row r="26" spans="2:14" ht="21" customHeight="1">
      <c r="B26" s="375"/>
      <c r="C26" s="375"/>
      <c r="D26" s="375"/>
      <c r="E26" s="375"/>
      <c r="F26" s="397"/>
      <c r="G26" s="376"/>
      <c r="H26" s="397"/>
      <c r="I26" s="376"/>
      <c r="J26" s="397"/>
      <c r="K26" s="376"/>
      <c r="L26" s="379"/>
      <c r="M26" s="857">
        <f t="shared" si="0"/>
        <v>0</v>
      </c>
    </row>
    <row r="27" spans="2:14" ht="21" customHeight="1">
      <c r="B27" s="375"/>
      <c r="C27" s="375"/>
      <c r="D27" s="375"/>
      <c r="E27" s="375"/>
      <c r="F27" s="397"/>
      <c r="G27" s="376"/>
      <c r="H27" s="397"/>
      <c r="I27" s="376"/>
      <c r="J27" s="397"/>
      <c r="K27" s="376"/>
      <c r="L27" s="379"/>
      <c r="M27" s="857">
        <f t="shared" si="0"/>
        <v>0</v>
      </c>
    </row>
    <row r="28" spans="2:14" ht="21" customHeight="1">
      <c r="B28" s="375"/>
      <c r="C28" s="375"/>
      <c r="D28" s="375"/>
      <c r="E28" s="375"/>
      <c r="F28" s="397"/>
      <c r="G28" s="376"/>
      <c r="H28" s="397"/>
      <c r="I28" s="376"/>
      <c r="J28" s="397"/>
      <c r="K28" s="376"/>
      <c r="L28" s="379"/>
      <c r="M28" s="857">
        <f t="shared" si="0"/>
        <v>0</v>
      </c>
    </row>
    <row r="29" spans="2:14" ht="21" customHeight="1">
      <c r="B29" s="375"/>
      <c r="C29" s="375"/>
      <c r="D29" s="375"/>
      <c r="E29" s="375"/>
      <c r="F29" s="397"/>
      <c r="G29" s="376"/>
      <c r="H29" s="397"/>
      <c r="I29" s="376"/>
      <c r="J29" s="397"/>
      <c r="K29" s="376"/>
      <c r="L29" s="379"/>
      <c r="M29" s="857">
        <f t="shared" si="0"/>
        <v>0</v>
      </c>
    </row>
    <row r="30" spans="2:14" ht="21" customHeight="1">
      <c r="B30" s="375"/>
      <c r="C30" s="375"/>
      <c r="D30" s="375"/>
      <c r="E30" s="375"/>
      <c r="F30" s="397"/>
      <c r="G30" s="376"/>
      <c r="H30" s="397"/>
      <c r="I30" s="376"/>
      <c r="J30" s="397"/>
      <c r="K30" s="376"/>
      <c r="L30" s="379"/>
      <c r="M30" s="857">
        <f t="shared" si="0"/>
        <v>0</v>
      </c>
    </row>
    <row r="31" spans="2:14" ht="21" customHeight="1">
      <c r="B31" s="375"/>
      <c r="C31" s="375"/>
      <c r="D31" s="375"/>
      <c r="E31" s="375"/>
      <c r="F31" s="397"/>
      <c r="G31" s="376"/>
      <c r="H31" s="397"/>
      <c r="I31" s="376"/>
      <c r="J31" s="397"/>
      <c r="K31" s="376"/>
      <c r="L31" s="379"/>
      <c r="M31" s="857">
        <f t="shared" si="0"/>
        <v>0</v>
      </c>
    </row>
    <row r="32" spans="2:14" ht="21" customHeight="1">
      <c r="B32" s="375"/>
      <c r="C32" s="375"/>
      <c r="D32" s="375"/>
      <c r="E32" s="375"/>
      <c r="F32" s="397"/>
      <c r="G32" s="376"/>
      <c r="H32" s="397"/>
      <c r="I32" s="376"/>
      <c r="J32" s="397"/>
      <c r="K32" s="376"/>
      <c r="L32" s="379"/>
      <c r="M32" s="857">
        <f t="shared" si="0"/>
        <v>0</v>
      </c>
    </row>
    <row r="33" spans="2:13" ht="21" customHeight="1">
      <c r="B33" s="375"/>
      <c r="C33" s="375"/>
      <c r="D33" s="375"/>
      <c r="E33" s="375"/>
      <c r="F33" s="397"/>
      <c r="G33" s="376"/>
      <c r="H33" s="397"/>
      <c r="I33" s="376"/>
      <c r="J33" s="397"/>
      <c r="K33" s="376"/>
      <c r="L33" s="379"/>
      <c r="M33" s="857">
        <f t="shared" si="0"/>
        <v>0</v>
      </c>
    </row>
    <row r="34" spans="2:13" ht="21" customHeight="1">
      <c r="B34" s="375"/>
      <c r="C34" s="375"/>
      <c r="D34" s="375"/>
      <c r="E34" s="375"/>
      <c r="F34" s="397"/>
      <c r="G34" s="376"/>
      <c r="H34" s="397"/>
      <c r="I34" s="376"/>
      <c r="J34" s="397"/>
      <c r="K34" s="376"/>
      <c r="L34" s="379"/>
      <c r="M34" s="857">
        <f t="shared" si="0"/>
        <v>0</v>
      </c>
    </row>
    <row r="35" spans="2:13" ht="21" customHeight="1">
      <c r="B35" s="375"/>
      <c r="C35" s="375"/>
      <c r="D35" s="375"/>
      <c r="E35" s="375"/>
      <c r="F35" s="397"/>
      <c r="G35" s="376"/>
      <c r="H35" s="397"/>
      <c r="I35" s="376"/>
      <c r="J35" s="397"/>
      <c r="K35" s="376"/>
      <c r="L35" s="379"/>
      <c r="M35" s="857">
        <f t="shared" si="0"/>
        <v>0</v>
      </c>
    </row>
    <row r="36" spans="2:13" ht="21" customHeight="1">
      <c r="B36" s="375"/>
      <c r="C36" s="375"/>
      <c r="D36" s="375"/>
      <c r="E36" s="375"/>
      <c r="F36" s="397"/>
      <c r="G36" s="376"/>
      <c r="H36" s="397"/>
      <c r="I36" s="376"/>
      <c r="J36" s="397"/>
      <c r="K36" s="376"/>
      <c r="L36" s="379"/>
      <c r="M36" s="857">
        <f t="shared" si="0"/>
        <v>0</v>
      </c>
    </row>
    <row r="37" spans="2:13" ht="21" customHeight="1">
      <c r="B37" s="375"/>
      <c r="C37" s="375"/>
      <c r="D37" s="375"/>
      <c r="E37" s="375"/>
      <c r="F37" s="397"/>
      <c r="G37" s="376"/>
      <c r="H37" s="397"/>
      <c r="I37" s="376"/>
      <c r="J37" s="397"/>
      <c r="K37" s="376"/>
      <c r="L37" s="379"/>
      <c r="M37" s="857">
        <f t="shared" si="0"/>
        <v>0</v>
      </c>
    </row>
    <row r="38" spans="2:13" ht="21" customHeight="1">
      <c r="B38" s="375"/>
      <c r="C38" s="375"/>
      <c r="D38" s="375"/>
      <c r="E38" s="375"/>
      <c r="F38" s="397"/>
      <c r="G38" s="376"/>
      <c r="H38" s="397"/>
      <c r="I38" s="376"/>
      <c r="J38" s="397"/>
      <c r="K38" s="376"/>
      <c r="L38" s="379"/>
      <c r="M38" s="857">
        <f t="shared" si="0"/>
        <v>0</v>
      </c>
    </row>
    <row r="39" spans="2:13" ht="21" customHeight="1">
      <c r="B39" s="375"/>
      <c r="C39" s="375"/>
      <c r="D39" s="375"/>
      <c r="E39" s="375"/>
      <c r="F39" s="397"/>
      <c r="G39" s="376"/>
      <c r="H39" s="397"/>
      <c r="I39" s="376"/>
      <c r="J39" s="397"/>
      <c r="K39" s="376"/>
      <c r="L39" s="379"/>
      <c r="M39" s="857">
        <f t="shared" si="0"/>
        <v>0</v>
      </c>
    </row>
    <row r="40" spans="2:13" ht="21" customHeight="1">
      <c r="B40" s="375"/>
      <c r="C40" s="375"/>
      <c r="D40" s="375"/>
      <c r="E40" s="375"/>
      <c r="F40" s="397"/>
      <c r="G40" s="376"/>
      <c r="H40" s="397"/>
      <c r="I40" s="376"/>
      <c r="J40" s="397"/>
      <c r="K40" s="376"/>
      <c r="L40" s="379"/>
      <c r="M40" s="857">
        <f t="shared" si="0"/>
        <v>0</v>
      </c>
    </row>
    <row r="41" spans="2:13" ht="21" customHeight="1">
      <c r="B41" s="375"/>
      <c r="C41" s="375"/>
      <c r="D41" s="375"/>
      <c r="E41" s="375"/>
      <c r="F41" s="397"/>
      <c r="G41" s="376"/>
      <c r="H41" s="397"/>
      <c r="I41" s="376"/>
      <c r="J41" s="397"/>
      <c r="K41" s="376"/>
      <c r="L41" s="379"/>
      <c r="M41" s="857">
        <f t="shared" si="0"/>
        <v>0</v>
      </c>
    </row>
    <row r="42" spans="2:13" ht="21" customHeight="1">
      <c r="B42" s="375"/>
      <c r="C42" s="375"/>
      <c r="D42" s="375"/>
      <c r="E42" s="375"/>
      <c r="F42" s="397"/>
      <c r="G42" s="376"/>
      <c r="H42" s="397"/>
      <c r="I42" s="376"/>
      <c r="J42" s="397"/>
      <c r="K42" s="376"/>
      <c r="L42" s="379"/>
      <c r="M42" s="857">
        <f t="shared" si="0"/>
        <v>0</v>
      </c>
    </row>
    <row r="43" spans="2:13" ht="21" customHeight="1">
      <c r="B43" s="375"/>
      <c r="C43" s="375"/>
      <c r="D43" s="375"/>
      <c r="E43" s="375"/>
      <c r="F43" s="397"/>
      <c r="G43" s="376"/>
      <c r="H43" s="397"/>
      <c r="I43" s="376"/>
      <c r="J43" s="397"/>
      <c r="K43" s="376"/>
      <c r="L43" s="379"/>
      <c r="M43" s="857">
        <f t="shared" si="0"/>
        <v>0</v>
      </c>
    </row>
    <row r="44" spans="2:13" ht="21" customHeight="1">
      <c r="B44" s="375"/>
      <c r="C44" s="375"/>
      <c r="D44" s="375"/>
      <c r="E44" s="375"/>
      <c r="F44" s="397"/>
      <c r="G44" s="376"/>
      <c r="H44" s="397"/>
      <c r="I44" s="376"/>
      <c r="J44" s="397"/>
      <c r="K44" s="376"/>
      <c r="L44" s="379"/>
      <c r="M44" s="857">
        <f t="shared" si="0"/>
        <v>0</v>
      </c>
    </row>
    <row r="45" spans="2:13" ht="21" customHeight="1">
      <c r="B45" s="375"/>
      <c r="C45" s="375"/>
      <c r="D45" s="375"/>
      <c r="E45" s="375"/>
      <c r="F45" s="397"/>
      <c r="G45" s="376"/>
      <c r="H45" s="397"/>
      <c r="I45" s="376"/>
      <c r="J45" s="397"/>
      <c r="K45" s="376"/>
      <c r="L45" s="379"/>
      <c r="M45" s="857">
        <f t="shared" si="0"/>
        <v>0</v>
      </c>
    </row>
    <row r="46" spans="2:13" ht="21" customHeight="1">
      <c r="B46" s="375"/>
      <c r="C46" s="375"/>
      <c r="D46" s="375"/>
      <c r="E46" s="375"/>
      <c r="F46" s="397"/>
      <c r="G46" s="376"/>
      <c r="H46" s="397"/>
      <c r="I46" s="376"/>
      <c r="J46" s="397"/>
      <c r="K46" s="376"/>
      <c r="L46" s="379"/>
      <c r="M46" s="857">
        <f t="shared" si="0"/>
        <v>0</v>
      </c>
    </row>
    <row r="47" spans="2:13" ht="21" customHeight="1">
      <c r="B47" s="375"/>
      <c r="C47" s="375"/>
      <c r="D47" s="375"/>
      <c r="E47" s="375"/>
      <c r="F47" s="397"/>
      <c r="G47" s="376"/>
      <c r="H47" s="397"/>
      <c r="I47" s="376"/>
      <c r="J47" s="397"/>
      <c r="K47" s="376"/>
      <c r="L47" s="379"/>
      <c r="M47" s="857">
        <f t="shared" si="0"/>
        <v>0</v>
      </c>
    </row>
    <row r="48" spans="2:13" ht="21" customHeight="1">
      <c r="B48" s="286"/>
      <c r="C48" s="286"/>
      <c r="D48" s="151" t="s">
        <v>3539</v>
      </c>
      <c r="E48" s="286"/>
      <c r="F48" s="322" t="s">
        <v>482</v>
      </c>
      <c r="G48" s="160">
        <f>SUM(G10:G47)</f>
        <v>4869244.87</v>
      </c>
      <c r="H48" s="322" t="s">
        <v>482</v>
      </c>
      <c r="I48" s="160">
        <f>SUM(I10:I47)</f>
        <v>4146662.7600000002</v>
      </c>
      <c r="J48" s="322" t="s">
        <v>482</v>
      </c>
      <c r="K48" s="160">
        <f>SUM(K10:K47)</f>
        <v>3351624.0200000005</v>
      </c>
      <c r="L48" s="322" t="s">
        <v>482</v>
      </c>
      <c r="M48" s="857">
        <f>SUM(M10:M47)</f>
        <v>5664283.6099999994</v>
      </c>
    </row>
    <row r="50" spans="2:13" ht="13.8">
      <c r="B50" s="1572" t="s">
        <v>3542</v>
      </c>
      <c r="C50" s="1572"/>
      <c r="D50" s="1572"/>
      <c r="E50" s="1572"/>
      <c r="F50" s="1572"/>
      <c r="G50" s="1572"/>
      <c r="H50" s="1572"/>
      <c r="I50" s="1572"/>
      <c r="J50" s="1572"/>
      <c r="K50" s="1572"/>
      <c r="L50" s="1572"/>
      <c r="M50" s="1572"/>
    </row>
    <row r="52" spans="2:13">
      <c r="G52" s="325"/>
      <c r="M52" s="325"/>
    </row>
  </sheetData>
  <sheetProtection algorithmName="SHA-512" hashValue="CEJNibRcpyNP0q5qaEn9GyrQUb3E9oJRGQHMJuS1r1PPTR7Zx7cjKvbds9AlMQEfMOjXe7UsZx/pDafsqpTo0Q==" saltValue="AvmBx/HBpYGsR2MiLHriP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39">
    <tabColor theme="2" tint="-0.249977111117893"/>
  </sheetPr>
  <dimension ref="A1: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1" spans="1:18">
      <c r="B1" s="1148"/>
      <c r="C1" s="1148"/>
      <c r="D1" s="1148"/>
      <c r="E1" s="1148"/>
      <c r="F1" s="1148"/>
      <c r="G1" s="1148"/>
      <c r="H1" s="1148"/>
      <c r="I1" s="1148"/>
    </row>
    <row r="2" spans="1:18" ht="20.399999999999999">
      <c r="B2" s="1789" t="str">
        <f>"SCHEDULE  OF  CAPITAL  LEASE  PROGRAM  OBLIGATIONS "&amp;UPPER('KEY INPUTS'!D55)&amp;"  UTILITY"</f>
        <v>SCHEDULE  OF  CAPITAL  LEASE  PROGRAM  OBLIGATIONS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944"/>
      <c r="C4" s="1944"/>
      <c r="D4" s="1944"/>
      <c r="E4" s="1944"/>
      <c r="F4" s="1945"/>
      <c r="G4" s="1365"/>
      <c r="H4" s="1144"/>
      <c r="I4" s="1269"/>
    </row>
    <row r="5" spans="1:18" ht="13.5" customHeight="1">
      <c r="B5" s="1148"/>
      <c r="C5" s="1148"/>
      <c r="D5" s="1148"/>
      <c r="E5" s="1143"/>
      <c r="F5" s="1143"/>
      <c r="G5" s="1153" t="s">
        <v>533</v>
      </c>
      <c r="H5" s="1946" t="str">
        <f>'KEY INPUTS'!D34+1&amp;" Budget Requirements"</f>
        <v>2020 Budget Requirements</v>
      </c>
      <c r="I5" s="1947"/>
      <c r="J5" s="776"/>
    </row>
    <row r="6" spans="1:18" ht="13.5" customHeight="1">
      <c r="B6" s="1148"/>
      <c r="C6" s="1788" t="s">
        <v>532</v>
      </c>
      <c r="D6" s="1788"/>
      <c r="E6" s="1143"/>
      <c r="F6" s="1143"/>
      <c r="G6" s="1153" t="s">
        <v>549</v>
      </c>
      <c r="H6" s="1948"/>
      <c r="I6" s="1949"/>
      <c r="J6" s="776"/>
    </row>
    <row r="7" spans="1:18" ht="13.5" customHeight="1">
      <c r="B7" s="1148"/>
      <c r="C7" s="1148"/>
      <c r="D7" s="1148"/>
      <c r="E7" s="1143"/>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875"/>
      <c r="C9" s="1875"/>
      <c r="D9" s="1875"/>
      <c r="E9" s="1875"/>
      <c r="F9" s="1876"/>
      <c r="G9" s="803"/>
      <c r="H9" s="605"/>
      <c r="I9" s="804"/>
      <c r="L9" s="377"/>
      <c r="M9" s="322"/>
      <c r="N9" s="322"/>
      <c r="O9" s="322"/>
      <c r="P9" s="322"/>
      <c r="Q9" s="322"/>
      <c r="R9" s="322"/>
    </row>
    <row r="10" spans="1:18" ht="21" customHeight="1">
      <c r="B10" s="1877"/>
      <c r="C10" s="1877"/>
      <c r="D10" s="1877"/>
      <c r="E10" s="1877"/>
      <c r="F10" s="1878"/>
      <c r="G10" s="631"/>
      <c r="H10" s="601"/>
      <c r="I10" s="602"/>
      <c r="L10" s="322"/>
      <c r="M10" s="322"/>
      <c r="N10" s="322"/>
      <c r="O10" s="322"/>
      <c r="P10" s="322"/>
      <c r="Q10" s="322"/>
      <c r="R10" s="322"/>
    </row>
    <row r="11" spans="1:18" ht="21" customHeight="1">
      <c r="B11" s="1877"/>
      <c r="C11" s="1877"/>
      <c r="D11" s="1877"/>
      <c r="E11" s="1877"/>
      <c r="F11" s="1878"/>
      <c r="G11" s="631"/>
      <c r="H11" s="601"/>
      <c r="I11" s="602"/>
      <c r="L11" s="322"/>
      <c r="M11" s="322"/>
      <c r="N11" s="322"/>
      <c r="O11" s="322"/>
      <c r="P11" s="322"/>
      <c r="Q11" s="322"/>
      <c r="R11" s="322"/>
    </row>
    <row r="12" spans="1:18" ht="21" customHeight="1">
      <c r="B12" s="1877"/>
      <c r="C12" s="1877"/>
      <c r="D12" s="1877"/>
      <c r="E12" s="1877"/>
      <c r="F12" s="1878"/>
      <c r="G12" s="631"/>
      <c r="H12" s="601"/>
      <c r="I12" s="602"/>
      <c r="L12" s="322"/>
      <c r="M12" s="322"/>
      <c r="N12" s="322"/>
      <c r="O12" s="322"/>
      <c r="P12" s="322"/>
      <c r="Q12" s="322"/>
      <c r="R12" s="322"/>
    </row>
    <row r="13" spans="1:18" ht="21" customHeight="1">
      <c r="B13" s="1877"/>
      <c r="C13" s="1877"/>
      <c r="D13" s="1877"/>
      <c r="E13" s="1877"/>
      <c r="F13" s="1878"/>
      <c r="G13" s="631"/>
      <c r="H13" s="601"/>
      <c r="I13" s="602"/>
      <c r="L13" s="322"/>
      <c r="M13" s="322"/>
      <c r="N13" s="322"/>
      <c r="O13" s="322"/>
      <c r="P13" s="322"/>
      <c r="Q13" s="322"/>
      <c r="R13" s="322"/>
    </row>
    <row r="14" spans="1:18" ht="21" customHeight="1">
      <c r="B14" s="1877"/>
      <c r="C14" s="1877"/>
      <c r="D14" s="1877"/>
      <c r="E14" s="1877"/>
      <c r="F14" s="1878"/>
      <c r="G14" s="632"/>
      <c r="H14" s="601"/>
      <c r="I14" s="602"/>
      <c r="L14" s="322"/>
      <c r="M14" s="322"/>
      <c r="N14" s="322"/>
      <c r="O14" s="322"/>
      <c r="P14" s="322"/>
      <c r="Q14" s="322"/>
      <c r="R14" s="322"/>
    </row>
    <row r="15" spans="1:18" ht="21" customHeight="1">
      <c r="A15" s="1793" t="s">
        <v>3450</v>
      </c>
      <c r="B15" s="1877"/>
      <c r="C15" s="1877"/>
      <c r="D15" s="1877"/>
      <c r="E15" s="1877"/>
      <c r="F15" s="1878"/>
      <c r="G15" s="631"/>
      <c r="H15" s="601"/>
      <c r="I15" s="602"/>
      <c r="L15" s="322"/>
      <c r="M15" s="322"/>
      <c r="N15" s="322"/>
      <c r="O15" s="322"/>
      <c r="P15" s="322"/>
      <c r="Q15" s="322"/>
      <c r="R15" s="322"/>
    </row>
    <row r="16" spans="1:18" ht="21" customHeight="1">
      <c r="A16" s="1793"/>
      <c r="B16" s="1877"/>
      <c r="C16" s="1877"/>
      <c r="D16" s="1877"/>
      <c r="E16" s="1877"/>
      <c r="F16" s="1878"/>
      <c r="G16" s="631"/>
      <c r="H16" s="601"/>
      <c r="I16" s="602"/>
      <c r="L16" s="322"/>
      <c r="M16" s="322"/>
      <c r="N16" s="322"/>
      <c r="O16" s="322"/>
      <c r="P16" s="322"/>
      <c r="Q16" s="322"/>
      <c r="R16" s="322"/>
    </row>
    <row r="17" spans="1:18" ht="21" customHeight="1">
      <c r="A17" s="1793"/>
      <c r="B17" s="1877"/>
      <c r="C17" s="1877"/>
      <c r="D17" s="1877"/>
      <c r="E17" s="1877"/>
      <c r="F17" s="1878"/>
      <c r="G17" s="631"/>
      <c r="H17" s="601"/>
      <c r="I17" s="602"/>
      <c r="L17" s="322"/>
      <c r="M17" s="322"/>
      <c r="N17" s="322"/>
      <c r="O17" s="322"/>
      <c r="P17" s="322"/>
      <c r="Q17" s="322"/>
      <c r="R17" s="322"/>
    </row>
    <row r="18" spans="1:18" ht="21" customHeight="1">
      <c r="A18" s="545"/>
      <c r="B18" s="1877"/>
      <c r="C18" s="1877"/>
      <c r="D18" s="1877"/>
      <c r="E18" s="1877"/>
      <c r="F18" s="1878"/>
      <c r="G18" s="631"/>
      <c r="H18" s="601"/>
      <c r="I18" s="602"/>
      <c r="L18" s="322"/>
      <c r="M18" s="322"/>
      <c r="N18" s="322"/>
      <c r="O18" s="322"/>
      <c r="P18" s="322"/>
      <c r="Q18" s="322"/>
      <c r="R18" s="322"/>
    </row>
    <row r="19" spans="1:18" ht="21" customHeight="1">
      <c r="B19" s="1877"/>
      <c r="C19" s="1877"/>
      <c r="D19" s="1877"/>
      <c r="E19" s="1877"/>
      <c r="F19" s="1878"/>
      <c r="G19" s="631"/>
      <c r="H19" s="601"/>
      <c r="I19" s="602"/>
      <c r="L19" s="322"/>
      <c r="M19" s="322"/>
      <c r="N19" s="322"/>
      <c r="O19" s="322"/>
      <c r="P19" s="322"/>
      <c r="Q19" s="322"/>
      <c r="R19" s="322"/>
    </row>
    <row r="20" spans="1:18" ht="21" customHeight="1">
      <c r="B20" s="1877"/>
      <c r="C20" s="1877"/>
      <c r="D20" s="1877"/>
      <c r="E20" s="1877"/>
      <c r="F20" s="1878"/>
      <c r="G20" s="631"/>
      <c r="H20" s="601"/>
      <c r="I20" s="602"/>
      <c r="L20" s="322"/>
      <c r="M20" s="322"/>
      <c r="N20" s="322"/>
      <c r="O20" s="322"/>
      <c r="P20" s="322"/>
      <c r="Q20" s="322"/>
      <c r="R20" s="322"/>
    </row>
    <row r="21" spans="1:18" ht="21" customHeight="1">
      <c r="B21" s="1877"/>
      <c r="C21" s="1877"/>
      <c r="D21" s="1877"/>
      <c r="E21" s="1877"/>
      <c r="F21" s="1878"/>
      <c r="G21" s="631"/>
      <c r="H21" s="601"/>
      <c r="I21" s="602"/>
      <c r="L21" s="322"/>
      <c r="M21" s="322"/>
      <c r="N21" s="322"/>
      <c r="O21" s="322"/>
      <c r="P21" s="322"/>
      <c r="Q21" s="322"/>
      <c r="R21" s="322"/>
    </row>
    <row r="22" spans="1:18" ht="21" customHeight="1" thickBot="1">
      <c r="B22" s="1877"/>
      <c r="C22" s="1877"/>
      <c r="D22" s="1877"/>
      <c r="E22" s="1877"/>
      <c r="F22" s="1878"/>
      <c r="G22" s="633"/>
      <c r="H22" s="627"/>
      <c r="I22" s="634"/>
      <c r="L22" s="322"/>
      <c r="M22" s="322"/>
      <c r="N22" s="322"/>
      <c r="O22" s="322"/>
      <c r="P22" s="322"/>
      <c r="Q22" s="322"/>
      <c r="R22" s="322"/>
    </row>
    <row r="23" spans="1:18" ht="21" customHeight="1" thickTop="1" thickBot="1">
      <c r="B23" s="1258"/>
      <c r="C23" s="1164"/>
      <c r="D23" s="1375" t="s">
        <v>174</v>
      </c>
      <c r="E23" s="1061"/>
      <c r="F23" s="1275"/>
      <c r="G23" s="1376">
        <f>SUM(G9:G22)</f>
        <v>0</v>
      </c>
      <c r="H23" s="1085">
        <f>SUM(H9:H22)</f>
        <v>0</v>
      </c>
      <c r="I23" s="1163">
        <f>SUM(I9:I22)</f>
        <v>0</v>
      </c>
      <c r="L23" s="322"/>
      <c r="M23" s="322"/>
      <c r="N23" s="322"/>
      <c r="O23" s="322"/>
      <c r="P23" s="322"/>
      <c r="Q23" s="322"/>
      <c r="R23" s="322"/>
    </row>
    <row r="24" spans="1:18" ht="13.5" customHeight="1" thickTop="1">
      <c r="B24" s="805"/>
      <c r="C24" s="411"/>
      <c r="D24" s="806"/>
      <c r="H24" s="504"/>
      <c r="I24" s="504"/>
    </row>
    <row r="25" spans="1:18" ht="13.5" customHeight="1">
      <c r="B25" s="805"/>
      <c r="C25" s="411"/>
      <c r="D25" s="806"/>
    </row>
    <row r="26" spans="1:18" ht="13.5" customHeight="1">
      <c r="B26" s="805"/>
      <c r="C26" s="411"/>
      <c r="D26" s="806"/>
      <c r="H26" s="802"/>
    </row>
    <row r="27" spans="1:18">
      <c r="B27" s="541"/>
      <c r="C27" s="411"/>
      <c r="D27" s="411"/>
    </row>
  </sheetData>
  <sheetProtection algorithmName="SHA-512" hashValue="iHmJBpvkqLsrrCcPLDYKc0mSRwKx3Xqd9lfNHiQcYmnoIXuX0l1NshO4uH8x9yn8/ENYTDjajZgRwLo4WRsstw==" saltValue="qJ/443a6MdVxE4JEme+z2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0">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INPUTS'!D55)&amp;"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544"/>
      <c r="C27" s="413"/>
      <c r="D27" s="514" t="s">
        <v>3657</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663</v>
      </c>
      <c r="D28" s="547"/>
      <c r="E28" s="510"/>
      <c r="F28" s="510"/>
      <c r="G28" s="510"/>
      <c r="H28" s="510"/>
      <c r="I28" s="510"/>
      <c r="J28" s="510"/>
      <c r="K28" s="543"/>
      <c r="L28" s="543"/>
    </row>
    <row r="42" spans="11:12">
      <c r="K42" s="331" t="s">
        <v>3495</v>
      </c>
      <c r="L42" s="553">
        <f>K27+L27</f>
        <v>0</v>
      </c>
    </row>
  </sheetData>
  <sheetProtection algorithmName="SHA-512" hashValue="cjvjimqVum9xhxrKpJKHRJa4Id6PpTGMbDvrm82GRxXq+5R+fLkN9o8sl4rbwm3OrrGodNbOy6MIVhYD/J/MsQ==" saltValue="onmIxKAhBLdPfwYguUY/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1">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INPUTS'!D55)&amp;"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+'52-Utility4'!E27</f>
        <v>0</v>
      </c>
      <c r="F9" s="1279">
        <f>+'52-Utility4'!F27</f>
        <v>0</v>
      </c>
      <c r="G9" s="1279">
        <f>+'52-Utility4'!G27</f>
        <v>0</v>
      </c>
      <c r="H9" s="1279">
        <f>+'52-Utility4'!H27</f>
        <v>0</v>
      </c>
      <c r="I9" s="1279">
        <f>+'52-Utility4'!I27</f>
        <v>0</v>
      </c>
      <c r="J9" s="1279">
        <f>+'52-Utility4'!J27</f>
        <v>0</v>
      </c>
      <c r="K9" s="1279">
        <f>+'52-Utility4'!K27</f>
        <v>0</v>
      </c>
      <c r="L9" s="1283">
        <f>+'52-Utility4'!L27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f84hSr1NOBKAgxtEHVVa/AKHKgZ7m/TG2lEaR8KL4guDlp7EXmRMs6TlvHd48aVVoxWwdU1WY5yFy4bASeCf4A==" saltValue="6f2rh/n2XzRYZKnNe6ZYB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2">
    <tabColor theme="2" tint="-0.249977111117893"/>
  </sheetPr>
  <dimension ref="A1:U42"/>
  <sheetViews>
    <sheetView topLeftCell="B1"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INPUTS'!D55)&amp;"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3662</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+'52.1-Utility4'!E27</f>
        <v>0</v>
      </c>
      <c r="F9" s="1279">
        <f>+'52.1-Utility4'!F27</f>
        <v>0</v>
      </c>
      <c r="G9" s="1279">
        <f>+'52.1-Utility4'!G27</f>
        <v>0</v>
      </c>
      <c r="H9" s="1279">
        <f>+'52.1-Utility4'!H27</f>
        <v>0</v>
      </c>
      <c r="I9" s="1279">
        <f>+'52.1-Utility4'!I27</f>
        <v>0</v>
      </c>
      <c r="J9" s="1279">
        <f>+'52.1-Utility4'!J27</f>
        <v>0</v>
      </c>
      <c r="K9" s="1279">
        <f>+'52.1-Utility4'!K27</f>
        <v>0</v>
      </c>
      <c r="L9" s="1283">
        <f>+'52.1-Utility4'!L27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0GkAf6qEYNjYJqFpm4tKK8OdvkgxxLE2bF/Qa0OC5BMCfU3q/rX7pYCWo9OX7e+wz3tQvIV7ypf39QpPqZ0ObA==" saltValue="3MiSHYuGdHRVc5b8S+zV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3">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INPUTS'!D55)&amp;"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+'52.2-Utility4'!E27</f>
        <v>0</v>
      </c>
      <c r="F9" s="1279">
        <f>+'52.2-Utility4'!F27</f>
        <v>0</v>
      </c>
      <c r="G9" s="1279">
        <f>+'52.2-Utility4'!G27</f>
        <v>0</v>
      </c>
      <c r="H9" s="1279">
        <f>+'52.2-Utility4'!H27</f>
        <v>0</v>
      </c>
      <c r="I9" s="1279">
        <f>+'52.2-Utility4'!I27</f>
        <v>0</v>
      </c>
      <c r="J9" s="1279">
        <f>+'52.2-Utility4'!J27</f>
        <v>0</v>
      </c>
      <c r="K9" s="1279">
        <f>+'52.2-Utility4'!K27</f>
        <v>0</v>
      </c>
      <c r="L9" s="1283">
        <f>+'52.2-Utility4'!L27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WRPsSiEWSmRaPsVIbO5UW8dHh2QAmBVW9COcwDdsRutEvD7ioPcvDHhZI/j9jKnCYSD/mNtXHw4PX3MM6LzItQ==" saltValue="Zeut7hA2cBIGhDoXUxE2B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4">
    <tabColor theme="2" tint="-0.249977111117893"/>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INPUTS'!D55)&amp;"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80" t="s">
        <v>3547</v>
      </c>
      <c r="C9" s="1281"/>
      <c r="D9" s="1282"/>
      <c r="E9" s="1279">
        <f>+'52.3-Utility4'!E27</f>
        <v>0</v>
      </c>
      <c r="F9" s="1279">
        <f>+'52.3-Utility4'!F27</f>
        <v>0</v>
      </c>
      <c r="G9" s="1279">
        <f>+'52.3-Utility4'!G27</f>
        <v>0</v>
      </c>
      <c r="H9" s="1279">
        <f>+'52.3-Utility4'!H27</f>
        <v>0</v>
      </c>
      <c r="I9" s="1279">
        <f>+'52.3-Utility4'!I27</f>
        <v>0</v>
      </c>
      <c r="J9" s="1279">
        <f>+'52.3-Utility4'!J27</f>
        <v>0</v>
      </c>
      <c r="K9" s="1279">
        <f>+'52.3-Utility4'!K27</f>
        <v>0</v>
      </c>
      <c r="L9" s="1283">
        <f>+'52.3-Utility4'!L27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3658</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1001</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yIbTDA4cqUXeqGrAc6FEC5CnLxlIVV0gN+cBwbSkEXp8I8AafHT3hdImu8KxnMtvFIgqV78ad+s7U1FEd4I7Fw==" saltValue="nHX8jhBH4BL40EV9spdy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5">
    <tabColor theme="2" tint="-0.249977111117893"/>
  </sheetPr>
  <dimension ref="B1: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1" spans="2:19">
      <c r="B1" s="1148"/>
      <c r="C1" s="1148"/>
      <c r="D1" s="1148"/>
      <c r="E1" s="1148"/>
      <c r="F1" s="1148"/>
      <c r="G1" s="1148"/>
      <c r="H1" s="1148"/>
      <c r="I1" s="1148"/>
      <c r="J1" s="1148"/>
    </row>
    <row r="2" spans="2:19">
      <c r="B2" s="1148"/>
      <c r="C2" s="1148"/>
      <c r="D2" s="1148"/>
      <c r="E2" s="1148"/>
      <c r="F2" s="1148"/>
      <c r="G2" s="1148"/>
      <c r="H2" s="1148"/>
      <c r="I2" s="1148"/>
      <c r="J2" s="1148"/>
    </row>
    <row r="3" spans="2:19" ht="22.8">
      <c r="B3" s="1760" t="str">
        <f>UPPER('KEY INPUTS'!D$55)&amp;" UTILITY  CAPITAL  FUND"</f>
        <v xml:space="preserve"> UTILITY  CAPITAL  FUND</v>
      </c>
      <c r="C3" s="1760"/>
      <c r="D3" s="1760"/>
      <c r="E3" s="1760"/>
      <c r="F3" s="1760"/>
      <c r="G3" s="1760"/>
      <c r="H3" s="1760"/>
      <c r="I3" s="1760"/>
      <c r="J3" s="1760"/>
    </row>
    <row r="4" spans="2:19">
      <c r="B4" s="1148"/>
      <c r="C4" s="1148"/>
      <c r="D4" s="1148"/>
      <c r="E4" s="1148"/>
      <c r="F4" s="1148"/>
      <c r="G4" s="1148"/>
      <c r="H4" s="1148"/>
      <c r="I4" s="1148"/>
      <c r="J4" s="1148"/>
    </row>
    <row r="5" spans="2:19" ht="15.6">
      <c r="B5" s="1784" t="s">
        <v>668</v>
      </c>
      <c r="C5" s="1784"/>
      <c r="D5" s="1784"/>
      <c r="E5" s="1784"/>
      <c r="F5" s="1784"/>
      <c r="G5" s="1784"/>
      <c r="H5" s="1784"/>
      <c r="I5" s="1784"/>
      <c r="J5" s="1784"/>
    </row>
    <row r="6" spans="2:19" ht="13.8" thickBot="1">
      <c r="B6" s="1148"/>
      <c r="C6" s="1148"/>
      <c r="D6" s="1148"/>
      <c r="E6" s="1148"/>
      <c r="F6" s="1148"/>
      <c r="G6" s="1148"/>
      <c r="H6" s="1148"/>
      <c r="I6" s="1148"/>
      <c r="J6" s="1148"/>
    </row>
    <row r="7" spans="2:19" ht="28.5" customHeight="1" thickTop="1" thickBot="1">
      <c r="B7" s="1390"/>
      <c r="C7" s="1390"/>
      <c r="D7" s="1390"/>
      <c r="E7" s="1390"/>
      <c r="F7" s="1390"/>
      <c r="G7" s="1390"/>
      <c r="H7" s="1390"/>
      <c r="I7" s="1136" t="s">
        <v>125</v>
      </c>
      <c r="J7" s="1137" t="s">
        <v>126</v>
      </c>
    </row>
    <row r="8" spans="2:19" ht="21" customHeight="1" thickTop="1">
      <c r="B8" s="1160" t="str">
        <f>'KEY INPUTS'!D25</f>
        <v>Balance - January 1, 2019</v>
      </c>
      <c r="C8" s="1160"/>
      <c r="D8" s="1160"/>
      <c r="E8" s="1160"/>
      <c r="F8" s="1160"/>
      <c r="G8" s="1160"/>
      <c r="H8" s="1402"/>
      <c r="I8" s="1090" t="s">
        <v>788</v>
      </c>
      <c r="J8" s="639"/>
    </row>
    <row r="9" spans="2:19" ht="21" customHeight="1">
      <c r="B9" s="1141" t="str">
        <f>"Received from "&amp;'KEY INPUTS'!D34&amp;" Budget Appropriation"</f>
        <v>Received from 2019 Budget Appropriation</v>
      </c>
      <c r="C9" s="1141"/>
      <c r="D9" s="1141"/>
      <c r="E9" s="1141"/>
      <c r="F9" s="1141"/>
      <c r="G9" s="1141"/>
      <c r="H9" s="1403"/>
      <c r="I9" s="975" t="s">
        <v>788</v>
      </c>
      <c r="J9" s="609"/>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1404" t="s">
        <v>224</v>
      </c>
      <c r="C11" s="1405"/>
      <c r="D11" s="1405"/>
      <c r="E11" s="1405"/>
      <c r="F11" s="1405"/>
      <c r="G11" s="1405"/>
      <c r="H11" s="1406"/>
      <c r="I11" s="1907" t="s">
        <v>788</v>
      </c>
      <c r="J11" s="1905"/>
      <c r="M11" s="377"/>
      <c r="N11" s="322"/>
      <c r="O11" s="322"/>
      <c r="P11" s="322"/>
      <c r="Q11" s="322"/>
      <c r="R11" s="322"/>
      <c r="S11" s="322"/>
    </row>
    <row r="12" spans="2:19" ht="12.75" customHeight="1">
      <c r="B12" s="1393"/>
      <c r="C12" s="1407" t="s">
        <v>225</v>
      </c>
      <c r="D12" s="1393"/>
      <c r="E12" s="1393"/>
      <c r="F12" s="1393"/>
      <c r="G12" s="1393"/>
      <c r="H12" s="140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1141" t="s">
        <v>229</v>
      </c>
      <c r="C22" s="1141"/>
      <c r="D22" s="1141"/>
      <c r="E22" s="1141"/>
      <c r="F22" s="1141"/>
      <c r="G22" s="1141"/>
      <c r="H22" s="1403"/>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1141" t="str">
        <f>'KEY INPUTS'!D26</f>
        <v>Balance - December 31, 2019</v>
      </c>
      <c r="C24" s="1141"/>
      <c r="D24" s="1141"/>
      <c r="E24" s="1141"/>
      <c r="F24" s="1141"/>
      <c r="G24" s="1141"/>
      <c r="H24" s="1403"/>
      <c r="I24" s="1108">
        <f>+SUM(J8:J13)-SUM(I13:I23)</f>
        <v>0</v>
      </c>
      <c r="J24" s="1106" t="s">
        <v>788</v>
      </c>
      <c r="M24" s="322"/>
      <c r="N24" s="322"/>
      <c r="O24" s="322"/>
      <c r="P24" s="322"/>
      <c r="Q24" s="322"/>
      <c r="R24" s="322"/>
      <c r="S24" s="322"/>
    </row>
    <row r="25" spans="2:19" ht="21" customHeight="1" thickTop="1" thickBot="1">
      <c r="B25" s="1148"/>
      <c r="C25" s="1148"/>
      <c r="D25" s="1148"/>
      <c r="E25" s="1148"/>
      <c r="F25" s="1148"/>
      <c r="G25" s="1148"/>
      <c r="H25" s="1148"/>
      <c r="I25" s="1063">
        <f>SUM(I8:I24)</f>
        <v>0</v>
      </c>
      <c r="J25" s="1109">
        <f>SUM(J8:J24)</f>
        <v>0</v>
      </c>
      <c r="M25" s="322"/>
      <c r="N25" s="322"/>
      <c r="O25" s="322"/>
      <c r="P25" s="322"/>
      <c r="Q25" s="322"/>
      <c r="R25" s="322"/>
      <c r="S25" s="322"/>
    </row>
    <row r="26" spans="2:19" ht="13.8" thickTop="1">
      <c r="B26" s="1148"/>
      <c r="C26" s="1148"/>
      <c r="D26" s="1148"/>
      <c r="E26" s="1148"/>
      <c r="F26" s="1148"/>
      <c r="G26" s="1148"/>
      <c r="H26" s="1148"/>
      <c r="I26" s="1148"/>
      <c r="J26" s="1148"/>
    </row>
    <row r="27" spans="2:19">
      <c r="B27" s="1148"/>
      <c r="C27" s="1148"/>
      <c r="D27" s="1148"/>
      <c r="E27" s="1148"/>
      <c r="F27" s="1148"/>
      <c r="G27" s="1148"/>
      <c r="H27" s="1148"/>
      <c r="I27" s="1148"/>
      <c r="J27" s="1148"/>
    </row>
    <row r="28" spans="2:19">
      <c r="B28" s="1148"/>
      <c r="C28" s="1148"/>
      <c r="D28" s="1148"/>
      <c r="E28" s="1148"/>
      <c r="F28" s="1148"/>
      <c r="G28" s="1148"/>
      <c r="H28" s="1148"/>
      <c r="I28" s="1148"/>
      <c r="J28" s="1148"/>
    </row>
    <row r="29" spans="2:19">
      <c r="B29" s="1148"/>
      <c r="C29" s="1148"/>
      <c r="D29" s="1148"/>
      <c r="E29" s="1148"/>
      <c r="F29" s="1148"/>
      <c r="G29" s="1148"/>
      <c r="H29" s="1148"/>
      <c r="I29" s="1148"/>
      <c r="J29" s="1148"/>
    </row>
    <row r="30" spans="2:19" ht="22.8">
      <c r="B30" s="1760" t="str">
        <f>UPPER('KEY INPUTS'!D$55)&amp;" UTILITY  CAPITAL  FUND"</f>
        <v xml:space="preserve"> UTILITY  CAPITAL  FUND</v>
      </c>
      <c r="C30" s="1760"/>
      <c r="D30" s="1760"/>
      <c r="E30" s="1760"/>
      <c r="F30" s="1760"/>
      <c r="G30" s="1760"/>
      <c r="H30" s="1760"/>
      <c r="I30" s="1760"/>
      <c r="J30" s="1760"/>
    </row>
    <row r="31" spans="2:19" ht="7.5" customHeight="1">
      <c r="B31" s="1148"/>
      <c r="C31" s="1148"/>
      <c r="D31" s="1148"/>
      <c r="E31" s="1148"/>
      <c r="F31" s="1148"/>
      <c r="G31" s="1148"/>
      <c r="H31" s="1148"/>
      <c r="I31" s="1148"/>
      <c r="J31" s="1148"/>
    </row>
    <row r="32" spans="2:19" ht="15.6">
      <c r="B32" s="1784" t="s">
        <v>234</v>
      </c>
      <c r="C32" s="1784"/>
      <c r="D32" s="1784"/>
      <c r="E32" s="1784"/>
      <c r="F32" s="1784"/>
      <c r="G32" s="1784"/>
      <c r="H32" s="1784"/>
      <c r="I32" s="1784"/>
      <c r="J32" s="1784"/>
    </row>
    <row r="33" spans="2:10" ht="13.8" thickBot="1">
      <c r="B33" s="1148"/>
      <c r="C33" s="1148"/>
      <c r="D33" s="1148"/>
      <c r="E33" s="1148"/>
      <c r="F33" s="1148"/>
      <c r="G33" s="1148"/>
      <c r="H33" s="1148"/>
      <c r="I33" s="1148"/>
      <c r="J33" s="1148"/>
    </row>
    <row r="34" spans="2:10" ht="26.25" customHeight="1" thickTop="1" thickBot="1">
      <c r="B34" s="1390"/>
      <c r="C34" s="1390"/>
      <c r="D34" s="1390"/>
      <c r="E34" s="1390"/>
      <c r="F34" s="1390"/>
      <c r="G34" s="1390"/>
      <c r="H34" s="1390"/>
      <c r="I34" s="1136" t="s">
        <v>125</v>
      </c>
      <c r="J34" s="1137" t="s">
        <v>126</v>
      </c>
    </row>
    <row r="35" spans="2:10" ht="21" customHeight="1" thickTop="1">
      <c r="B35" s="1160" t="str">
        <f>'KEY INPUTS'!D25</f>
        <v>Balance - January 1, 2019</v>
      </c>
      <c r="C35" s="1160"/>
      <c r="D35" s="1160"/>
      <c r="E35" s="1160"/>
      <c r="F35" s="1160"/>
      <c r="G35" s="1160"/>
      <c r="H35" s="1402"/>
      <c r="I35" s="1090" t="s">
        <v>788</v>
      </c>
      <c r="J35" s="639"/>
    </row>
    <row r="36" spans="2:10" ht="21" customHeight="1">
      <c r="B36" s="1141" t="str">
        <f>"Received from "&amp;TEXT('KEY INPUTS'!D34,"0")&amp;" Budget Appropriation *"</f>
        <v>Received from 2019 Budget Appropriation *</v>
      </c>
      <c r="C36" s="1141"/>
      <c r="D36" s="1141"/>
      <c r="E36" s="1141"/>
      <c r="F36" s="1141"/>
      <c r="G36" s="1141"/>
      <c r="H36" s="1403"/>
      <c r="I36" s="975" t="s">
        <v>788</v>
      </c>
      <c r="J36" s="609"/>
    </row>
    <row r="37" spans="2:10" ht="21" customHeight="1">
      <c r="B37" s="1141" t="str">
        <f>"Received from "&amp;TEXT('KEY INPUTS'!D34,"0")&amp;" Emergency Appropriation *"</f>
        <v>Received from 2019 Emergency Appropriation *</v>
      </c>
      <c r="C37" s="1141"/>
      <c r="D37" s="1141"/>
      <c r="E37" s="1141"/>
      <c r="F37" s="1141"/>
      <c r="G37" s="1141"/>
      <c r="H37" s="1403"/>
      <c r="I37" s="975" t="s">
        <v>788</v>
      </c>
      <c r="J37" s="609"/>
    </row>
    <row r="38" spans="2:10" ht="21" customHeight="1">
      <c r="B38" s="669"/>
      <c r="C38" s="1284"/>
      <c r="D38" s="669"/>
      <c r="E38" s="1393"/>
      <c r="F38" s="1393"/>
      <c r="G38" s="1393"/>
      <c r="H38" s="1393"/>
      <c r="I38" s="684"/>
      <c r="J38" s="376"/>
    </row>
    <row r="39" spans="2:10" ht="21" customHeight="1">
      <c r="B39" s="1141" t="s">
        <v>229</v>
      </c>
      <c r="C39" s="1141"/>
      <c r="D39" s="1141"/>
      <c r="E39" s="1141"/>
      <c r="F39" s="1141"/>
      <c r="G39" s="1141"/>
      <c r="H39" s="1403"/>
      <c r="I39" s="601"/>
      <c r="J39" s="979" t="s">
        <v>788</v>
      </c>
    </row>
    <row r="40" spans="2:10" ht="21" customHeight="1">
      <c r="B40" s="648"/>
      <c r="C40" s="648"/>
      <c r="D40" s="648"/>
      <c r="E40" s="1141"/>
      <c r="F40" s="1141"/>
      <c r="G40" s="1141"/>
      <c r="H40" s="1141"/>
      <c r="I40" s="601"/>
      <c r="J40" s="979" t="s">
        <v>788</v>
      </c>
    </row>
    <row r="41" spans="2:10" ht="21" customHeight="1" thickBot="1">
      <c r="B41" s="1141" t="str">
        <f>'KEY INPUTS'!D26</f>
        <v>Balance - December 31, 2019</v>
      </c>
      <c r="C41" s="1141"/>
      <c r="D41" s="1141"/>
      <c r="E41" s="1141"/>
      <c r="F41" s="1141"/>
      <c r="G41" s="1141"/>
      <c r="H41" s="1403"/>
      <c r="I41" s="1285">
        <f>SUM(J35:J38)-SUM(I38:I40)</f>
        <v>0</v>
      </c>
      <c r="J41" s="1106" t="s">
        <v>788</v>
      </c>
    </row>
    <row r="42" spans="2:10" ht="21" customHeight="1" thickTop="1" thickBot="1">
      <c r="B42" s="1148"/>
      <c r="C42" s="1148"/>
      <c r="D42" s="1148"/>
      <c r="E42" s="1148"/>
      <c r="F42" s="1148"/>
      <c r="G42" s="1148"/>
      <c r="H42" s="1148"/>
      <c r="I42" s="1063">
        <f>SUM(I35:I41)</f>
        <v>0</v>
      </c>
      <c r="J42" s="1109">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wLOIG+9DS1KhWfc9nn/WwAq4TMn/emJydkwtslrqD/yVqj9tTjAOkhrH393/IkRYEYGKIEqezUMvNm9YdOlx/A==" saltValue="iwRe9F0vKnrZ742P9wbqR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6">
    <tabColor theme="2" tint="-0.249977111117893"/>
  </sheetPr>
  <dimension ref="B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6"/>
      <c r="C1" s="1116"/>
      <c r="D1" s="1224"/>
      <c r="E1" s="1224"/>
      <c r="F1" s="1116"/>
      <c r="G1" s="1116"/>
      <c r="H1" s="1116"/>
      <c r="I1" s="1116"/>
      <c r="J1" s="1116"/>
    </row>
    <row r="2" spans="2:19">
      <c r="B2" s="1116"/>
      <c r="C2" s="1116"/>
      <c r="D2" s="1224"/>
      <c r="E2" s="1224"/>
      <c r="F2" s="1116"/>
      <c r="G2" s="1116"/>
      <c r="H2" s="1116"/>
      <c r="I2" s="1116"/>
      <c r="J2" s="1116"/>
    </row>
    <row r="3" spans="2:19" ht="24.6">
      <c r="B3" s="1950" t="str">
        <f>UPPER('KEY INPUTS'!D$55)&amp;" UTILITY FUND"</f>
        <v xml:space="preserve"> UTILITY FUND</v>
      </c>
      <c r="C3" s="1950"/>
      <c r="D3" s="1950"/>
      <c r="E3" s="1950"/>
      <c r="F3" s="1950"/>
      <c r="G3" s="1950"/>
      <c r="H3" s="1950"/>
      <c r="I3" s="1950"/>
      <c r="J3" s="1950"/>
    </row>
    <row r="4" spans="2:19">
      <c r="B4" s="1116"/>
      <c r="C4" s="1116"/>
      <c r="D4" s="1116"/>
      <c r="E4" s="1116"/>
      <c r="F4" s="1116"/>
      <c r="G4" s="1116"/>
      <c r="H4" s="1116"/>
      <c r="I4" s="1116"/>
      <c r="J4" s="1116"/>
    </row>
    <row r="5" spans="2:19" ht="17.399999999999999">
      <c r="B5" s="1806" t="str">
        <f>"CAPITAL  IMPROVEMENTS  AUTHORIZED  IN "&amp;TEXT('KEY INPUTS'!D34,"0")&amp;""</f>
        <v>CAPITAL  IMPROVEMENTS  AUTHORIZED  IN 2019</v>
      </c>
      <c r="C5" s="1806"/>
      <c r="D5" s="1806"/>
      <c r="E5" s="1806"/>
      <c r="F5" s="1806"/>
      <c r="G5" s="1806"/>
      <c r="H5" s="1806"/>
      <c r="I5" s="1806"/>
      <c r="J5" s="1806"/>
    </row>
    <row r="6" spans="2:19" ht="17.399999999999999">
      <c r="B6" s="1806" t="s">
        <v>261</v>
      </c>
      <c r="C6" s="1806"/>
      <c r="D6" s="1806"/>
      <c r="E6" s="1806"/>
      <c r="F6" s="1806"/>
      <c r="G6" s="1806"/>
      <c r="H6" s="1806"/>
      <c r="I6" s="1806"/>
      <c r="J6" s="1806"/>
    </row>
    <row r="7" spans="2:19" ht="13.8" thickBot="1">
      <c r="B7" s="1116"/>
      <c r="C7" s="1116"/>
      <c r="D7" s="1116"/>
      <c r="E7" s="1116"/>
      <c r="F7" s="1116"/>
      <c r="G7" s="1116"/>
      <c r="H7" s="1116"/>
      <c r="I7" s="1116"/>
      <c r="J7" s="1116"/>
    </row>
    <row r="8" spans="2:19" ht="13.8" thickTop="1">
      <c r="B8" s="1239"/>
      <c r="C8" s="1239"/>
      <c r="D8" s="1239"/>
      <c r="E8" s="1239"/>
      <c r="F8" s="1239"/>
      <c r="G8" s="1240"/>
      <c r="H8" s="1240"/>
      <c r="I8" s="1240"/>
      <c r="J8" s="1304" t="s">
        <v>307</v>
      </c>
    </row>
    <row r="9" spans="2:19">
      <c r="B9" s="1116"/>
      <c r="C9" s="1865" t="s">
        <v>532</v>
      </c>
      <c r="D9" s="1865"/>
      <c r="E9" s="1865"/>
      <c r="F9" s="1116"/>
      <c r="G9" s="1243" t="s">
        <v>533</v>
      </c>
      <c r="H9" s="1243" t="s">
        <v>260</v>
      </c>
      <c r="I9" s="1243" t="s">
        <v>265</v>
      </c>
      <c r="J9" s="1301" t="s">
        <v>308</v>
      </c>
    </row>
    <row r="10" spans="2:19">
      <c r="B10" s="1116"/>
      <c r="C10" s="1116"/>
      <c r="D10" s="1116"/>
      <c r="E10" s="1116"/>
      <c r="F10" s="1116"/>
      <c r="G10" s="1243" t="s">
        <v>263</v>
      </c>
      <c r="H10" s="1243" t="s">
        <v>264</v>
      </c>
      <c r="I10" s="1243" t="s">
        <v>266</v>
      </c>
      <c r="J10" s="1409" t="str">
        <f>"of " &amp;TEXT('KEY INPUTS'!D34,"0")&amp;" or Prior"</f>
        <v>of 2019 or Prior</v>
      </c>
    </row>
    <row r="11" spans="2:19" ht="13.8" thickBot="1">
      <c r="B11" s="1171"/>
      <c r="C11" s="1171"/>
      <c r="D11" s="1171"/>
      <c r="E11" s="1171"/>
      <c r="F11" s="1171"/>
      <c r="G11" s="1250"/>
      <c r="H11" s="1250" t="s">
        <v>560</v>
      </c>
      <c r="I11" s="1250" t="s">
        <v>306</v>
      </c>
      <c r="J11" s="1410"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1171"/>
      <c r="C22" s="1171"/>
      <c r="D22" s="1171"/>
      <c r="E22" s="1171"/>
      <c r="F22" s="1171"/>
      <c r="G22" s="1133">
        <f>SUM(G12:G21)</f>
        <v>0</v>
      </c>
      <c r="H22" s="1133">
        <f>SUM(H12:H21)</f>
        <v>0</v>
      </c>
      <c r="I22" s="1133">
        <f>SUM(I12:I21)</f>
        <v>0</v>
      </c>
      <c r="J22" s="1411">
        <f>SUM(J12:J21)</f>
        <v>0</v>
      </c>
      <c r="M22" s="322"/>
      <c r="N22" s="322"/>
      <c r="O22" s="322"/>
      <c r="P22" s="322"/>
      <c r="Q22" s="322"/>
      <c r="R22" s="322"/>
      <c r="S22" s="322"/>
    </row>
    <row r="23" spans="2:19" ht="13.8" thickTop="1">
      <c r="B23" s="1116"/>
      <c r="C23" s="1116"/>
      <c r="D23" s="1116"/>
      <c r="E23" s="1116"/>
      <c r="F23" s="1116"/>
      <c r="G23" s="1116"/>
      <c r="H23" s="1116"/>
      <c r="I23" s="1116"/>
      <c r="J23" s="1116"/>
      <c r="M23" s="322"/>
      <c r="N23" s="322"/>
      <c r="O23" s="322"/>
      <c r="P23" s="322"/>
      <c r="Q23" s="322"/>
      <c r="R23" s="322"/>
      <c r="S23" s="322"/>
    </row>
    <row r="24" spans="2:19">
      <c r="B24" s="1116"/>
      <c r="C24" s="1116"/>
      <c r="D24" s="1116"/>
      <c r="E24" s="1116"/>
      <c r="F24" s="1116"/>
      <c r="G24" s="1116"/>
      <c r="H24" s="1116"/>
      <c r="I24" s="1116"/>
      <c r="J24" s="1116"/>
      <c r="M24" s="322"/>
      <c r="N24" s="322"/>
      <c r="O24" s="322"/>
      <c r="P24" s="322"/>
      <c r="Q24" s="322"/>
      <c r="R24" s="322"/>
      <c r="S24" s="322"/>
    </row>
    <row r="25" spans="2:19">
      <c r="B25" s="1116"/>
      <c r="C25" s="1116"/>
      <c r="D25" s="1116"/>
      <c r="E25" s="1116"/>
      <c r="F25" s="1116"/>
      <c r="G25" s="1116"/>
      <c r="H25" s="1116"/>
      <c r="I25" s="1116"/>
      <c r="J25" s="1116"/>
      <c r="M25" s="322"/>
      <c r="N25" s="322"/>
      <c r="O25" s="322"/>
      <c r="P25" s="322"/>
      <c r="Q25" s="322"/>
      <c r="R25" s="322"/>
      <c r="S25" s="322"/>
    </row>
    <row r="26" spans="2:19">
      <c r="B26" s="1116"/>
      <c r="C26" s="1116"/>
      <c r="D26" s="1116"/>
      <c r="E26" s="1116"/>
      <c r="F26" s="1116"/>
      <c r="G26" s="1116"/>
      <c r="H26" s="1116"/>
      <c r="I26" s="1116"/>
      <c r="J26" s="1116"/>
      <c r="M26" s="322"/>
      <c r="N26" s="322"/>
      <c r="O26" s="322"/>
      <c r="P26" s="322"/>
      <c r="Q26" s="322"/>
      <c r="R26" s="322"/>
      <c r="S26" s="322"/>
    </row>
    <row r="27" spans="2:19">
      <c r="B27" s="1116"/>
      <c r="C27" s="1116"/>
      <c r="D27" s="1116"/>
      <c r="E27" s="1116"/>
      <c r="F27" s="1116"/>
      <c r="G27" s="1116"/>
      <c r="H27" s="1116"/>
      <c r="I27" s="1116"/>
      <c r="J27" s="1116"/>
      <c r="M27" s="322"/>
      <c r="N27" s="322"/>
      <c r="O27" s="322"/>
      <c r="P27" s="322"/>
      <c r="Q27" s="322"/>
      <c r="R27" s="322"/>
      <c r="S27" s="322"/>
    </row>
    <row r="28" spans="2:19" ht="22.8">
      <c r="B28" s="1760" t="str">
        <f>UPPER('KEY INPUTS'!D$55)&amp;" UTILITY  CAPITAL  FUND"</f>
        <v xml:space="preserve"> UTILITY  CAPITAL  FUND</v>
      </c>
      <c r="C28" s="1760"/>
      <c r="D28" s="1760"/>
      <c r="E28" s="1760"/>
      <c r="F28" s="1760"/>
      <c r="G28" s="1760"/>
      <c r="H28" s="1760"/>
      <c r="I28" s="1760"/>
      <c r="J28" s="1760"/>
    </row>
    <row r="29" spans="2:19" ht="22.8">
      <c r="B29" s="1760" t="s">
        <v>193</v>
      </c>
      <c r="C29" s="1760"/>
      <c r="D29" s="1760"/>
      <c r="E29" s="1760"/>
      <c r="F29" s="1760"/>
      <c r="G29" s="1760"/>
      <c r="H29" s="1760"/>
      <c r="I29" s="1760"/>
      <c r="J29" s="1760"/>
    </row>
    <row r="30" spans="2:19">
      <c r="B30" s="1116"/>
      <c r="C30" s="1116"/>
      <c r="D30" s="1116"/>
      <c r="E30" s="1116"/>
      <c r="F30" s="1116"/>
      <c r="G30" s="1116"/>
      <c r="H30" s="1116"/>
      <c r="I30" s="1116"/>
      <c r="J30" s="1116"/>
    </row>
    <row r="31" spans="2:19" ht="15.6">
      <c r="B31" s="1767" t="str">
        <f>"YEAR  "&amp;TEXT('KEY INPUTS'!D34,"0")&amp;""</f>
        <v>YEAR  2019</v>
      </c>
      <c r="C31" s="1767"/>
      <c r="D31" s="1767"/>
      <c r="E31" s="1767"/>
      <c r="F31" s="1767"/>
      <c r="G31" s="1767"/>
      <c r="H31" s="1767"/>
      <c r="I31" s="1767"/>
      <c r="J31" s="1767"/>
    </row>
    <row r="32" spans="2:19" ht="13.8" thickBot="1">
      <c r="B32" s="1116"/>
      <c r="C32" s="1116"/>
      <c r="D32" s="1116"/>
      <c r="E32" s="1116"/>
      <c r="F32" s="1116"/>
      <c r="G32" s="1116"/>
      <c r="H32" s="1116"/>
      <c r="I32" s="1116"/>
      <c r="J32" s="1116"/>
    </row>
    <row r="33" spans="2:10" ht="28.5" customHeight="1" thickTop="1" thickBot="1">
      <c r="B33" s="1335"/>
      <c r="C33" s="1335"/>
      <c r="D33" s="1335"/>
      <c r="E33" s="1335"/>
      <c r="F33" s="1335"/>
      <c r="G33" s="1335"/>
      <c r="H33" s="1335"/>
      <c r="I33" s="1117" t="s">
        <v>125</v>
      </c>
      <c r="J33" s="1118" t="s">
        <v>126</v>
      </c>
    </row>
    <row r="34" spans="2:10" ht="21" customHeight="1" thickTop="1">
      <c r="B34" s="708" t="str">
        <f>'KEY INPUTS'!D25</f>
        <v>Balance - January 1, 2019</v>
      </c>
      <c r="C34" s="1172"/>
      <c r="D34" s="1172"/>
      <c r="E34" s="1172"/>
      <c r="F34" s="1172"/>
      <c r="G34" s="1172"/>
      <c r="H34" s="1172"/>
      <c r="I34" s="1173" t="s">
        <v>788</v>
      </c>
      <c r="J34" s="638"/>
    </row>
    <row r="35" spans="2:10" ht="21" customHeight="1">
      <c r="B35" s="402" t="s">
        <v>195</v>
      </c>
      <c r="C35" s="691"/>
      <c r="D35" s="691"/>
      <c r="E35" s="691"/>
      <c r="F35" s="691"/>
      <c r="G35" s="691"/>
      <c r="H35" s="691"/>
      <c r="I35" s="1176" t="s">
        <v>788</v>
      </c>
      <c r="J35" s="578"/>
    </row>
    <row r="36" spans="2:10" ht="21" customHeight="1">
      <c r="B36" s="402" t="s">
        <v>196</v>
      </c>
      <c r="C36" s="691"/>
      <c r="D36" s="691"/>
      <c r="E36" s="691"/>
      <c r="F36" s="691"/>
      <c r="G36" s="691"/>
      <c r="H36" s="691"/>
      <c r="I36" s="1176" t="s">
        <v>788</v>
      </c>
      <c r="J36" s="578"/>
    </row>
    <row r="37" spans="2:10" ht="21" customHeight="1">
      <c r="B37" s="648" t="s">
        <v>3496</v>
      </c>
      <c r="C37" s="648"/>
      <c r="D37" s="648"/>
      <c r="E37" s="648"/>
      <c r="F37" s="648"/>
      <c r="G37" s="648"/>
      <c r="H37" s="691"/>
      <c r="I37" s="374"/>
      <c r="J37" s="578"/>
    </row>
    <row r="38" spans="2:10" ht="21" customHeight="1">
      <c r="B38" s="648"/>
      <c r="C38" s="648"/>
      <c r="D38" s="648"/>
      <c r="E38" s="648"/>
      <c r="F38" s="648"/>
      <c r="G38" s="648"/>
      <c r="H38" s="691"/>
      <c r="I38" s="374"/>
      <c r="J38" s="578"/>
    </row>
    <row r="39" spans="2:10" ht="21" customHeight="1">
      <c r="B39" s="648"/>
      <c r="C39" s="648"/>
      <c r="D39" s="648"/>
      <c r="E39" s="648"/>
      <c r="F39" s="648"/>
      <c r="G39" s="648"/>
      <c r="H39" s="691"/>
      <c r="I39" s="374"/>
      <c r="J39" s="578"/>
    </row>
    <row r="40" spans="2:10" ht="21" customHeight="1">
      <c r="B40" s="691" t="s">
        <v>3455</v>
      </c>
      <c r="C40" s="691"/>
      <c r="D40" s="691"/>
      <c r="E40" s="691"/>
      <c r="F40" s="691"/>
      <c r="G40" s="691"/>
      <c r="H40" s="691"/>
      <c r="I40" s="374"/>
      <c r="J40" s="1302" t="s">
        <v>788</v>
      </c>
    </row>
    <row r="41" spans="2:10" ht="21" customHeight="1">
      <c r="B41" s="916" t="str">
        <f>"Appropriation to "&amp;'KEY INPUTS'!D34&amp;" Budget Reserve"</f>
        <v>Appropriation to 2019 Budget Reserve</v>
      </c>
      <c r="C41" s="691"/>
      <c r="D41" s="691"/>
      <c r="E41" s="691"/>
      <c r="F41" s="691"/>
      <c r="G41" s="1413"/>
      <c r="H41" s="691"/>
      <c r="I41" s="575"/>
      <c r="J41" s="1302" t="s">
        <v>788</v>
      </c>
    </row>
    <row r="42" spans="2:10" ht="21" customHeight="1">
      <c r="B42" s="691" t="str">
        <f>'KEY INPUTS'!D26</f>
        <v>Balance - December 31, 2019</v>
      </c>
      <c r="C42" s="691"/>
      <c r="D42" s="691"/>
      <c r="E42" s="691"/>
      <c r="F42" s="691"/>
      <c r="G42" s="691"/>
      <c r="H42" s="691"/>
      <c r="I42" s="844">
        <f>SUM(J34:J39)-SUM(I37:I41)</f>
        <v>0</v>
      </c>
      <c r="J42" s="1302" t="s">
        <v>788</v>
      </c>
    </row>
    <row r="43" spans="2:10" ht="21" customHeight="1" thickBot="1">
      <c r="B43" s="1116"/>
      <c r="C43" s="1116"/>
      <c r="D43" s="1116"/>
      <c r="E43" s="1116"/>
      <c r="F43" s="1116"/>
      <c r="G43" s="1116"/>
      <c r="H43" s="1116"/>
      <c r="I43" s="1111">
        <f>SUM(I34:I42)</f>
        <v>0</v>
      </c>
      <c r="J43" s="1414">
        <f>SUM(J34:J42)</f>
        <v>0</v>
      </c>
    </row>
    <row r="44" spans="2:10" ht="21" customHeight="1" thickTop="1">
      <c r="J44" s="777"/>
    </row>
    <row r="45" spans="2:10" ht="21" customHeight="1"/>
    <row r="46" spans="2:10" ht="21" customHeight="1"/>
    <row r="47" spans="2:10" ht="21" customHeight="1"/>
    <row r="48" spans="2:10" ht="21" customHeight="1"/>
    <row r="49" spans="2:10" ht="21" customHeight="1"/>
    <row r="52" spans="2:10" ht="13.8">
      <c r="B52" s="1766" t="s">
        <v>3454</v>
      </c>
      <c r="C52" s="1766"/>
      <c r="D52" s="1766"/>
      <c r="E52" s="1766"/>
      <c r="F52" s="1766"/>
      <c r="G52" s="1766"/>
      <c r="H52" s="1766"/>
      <c r="I52" s="1766"/>
      <c r="J52" s="176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7">
    <tabColor theme="7" tint="0.39997558519241921"/>
  </sheetPr>
  <dimension ref="B1:R57"/>
  <sheetViews>
    <sheetView zoomScaleNormal="100" zoomScaleSheetLayoutView="80" workbookViewId="0"/>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6"/>
      <c r="C1" s="1116"/>
      <c r="D1" s="1116"/>
      <c r="E1" s="1116"/>
      <c r="F1" s="1116"/>
      <c r="G1" s="1116"/>
      <c r="H1" s="1116"/>
    </row>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INPUTS'!D56)&amp;"  UTILITY  FUND"</f>
        <v>TRIAL  BALANCE -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+'47-Utility5'!L24</f>
        <v>0</v>
      </c>
      <c r="H20" s="1125"/>
      <c r="L20" s="322"/>
      <c r="M20" s="322"/>
      <c r="N20" s="322"/>
      <c r="O20" s="322"/>
      <c r="P20" s="322"/>
      <c r="Q20" s="322"/>
      <c r="R20" s="322"/>
    </row>
    <row r="21" spans="2:18" ht="21" customHeight="1">
      <c r="B21" s="691" t="s">
        <v>3488</v>
      </c>
      <c r="C21" s="691"/>
      <c r="D21" s="691"/>
      <c r="E21" s="691"/>
      <c r="F21" s="691"/>
      <c r="G21" s="690">
        <f>+'47-Utility5'!L54</f>
        <v>0</v>
      </c>
      <c r="H21" s="1116"/>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90">
        <f>+'48-Utility5'!N23</f>
        <v>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+'44-Utility5'!I37</f>
        <v>0</v>
      </c>
      <c r="J31" s="740"/>
    </row>
    <row r="32" spans="2:18" ht="21" customHeight="1">
      <c r="B32" s="691" t="s">
        <v>3411</v>
      </c>
      <c r="C32" s="691"/>
      <c r="D32" s="691"/>
      <c r="E32" s="691"/>
      <c r="F32" s="691"/>
      <c r="G32" s="601"/>
      <c r="H32" s="609"/>
    </row>
    <row r="33" spans="2:18" ht="21" customHeight="1">
      <c r="B33" s="691" t="s">
        <v>3410</v>
      </c>
      <c r="C33" s="691"/>
      <c r="D33" s="691"/>
      <c r="E33" s="691"/>
      <c r="F33" s="691"/>
      <c r="G33" s="601"/>
      <c r="H33" s="1128">
        <f>+'49-Utility5'!I29+'49a-Utility5'!I29+'50-Utility5'!M24+'49a.1-Utility5'!I29</f>
        <v>0</v>
      </c>
      <c r="J33" s="740"/>
    </row>
    <row r="34" spans="2:18" ht="21" customHeight="1">
      <c r="B34" s="648" t="s">
        <v>3498</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40"/>
      <c r="L36" s="322"/>
      <c r="M36" s="322"/>
      <c r="N36" s="322"/>
      <c r="O36" s="322"/>
      <c r="P36" s="322"/>
      <c r="Q36" s="322"/>
      <c r="R36" s="322"/>
    </row>
    <row r="37" spans="2:18" ht="21" customHeight="1">
      <c r="B37" s="648"/>
      <c r="C37" s="648"/>
      <c r="D37" s="648"/>
      <c r="E37" s="648"/>
      <c r="F37" s="648"/>
      <c r="G37" s="601"/>
      <c r="H37" s="609"/>
      <c r="J37" s="740"/>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1"/>
      <c r="C39" s="691" t="s">
        <v>3409</v>
      </c>
      <c r="D39" s="691"/>
      <c r="E39" s="691"/>
      <c r="F39" s="1286"/>
      <c r="G39" s="1287"/>
      <c r="H39" s="1129">
        <f>SUM(H30:H38)</f>
        <v>0</v>
      </c>
      <c r="I39" s="398" t="s">
        <v>998</v>
      </c>
    </row>
    <row r="40" spans="2:18" ht="21" customHeight="1">
      <c r="B40" s="1130" t="s">
        <v>3499</v>
      </c>
      <c r="C40" s="1130"/>
      <c r="D40" s="1130"/>
      <c r="E40" s="1130"/>
      <c r="F40" s="1130"/>
      <c r="G40" s="1125"/>
      <c r="H40" s="1113"/>
    </row>
    <row r="41" spans="2:18" ht="21" customHeight="1">
      <c r="B41" s="691"/>
      <c r="C41" s="691"/>
      <c r="D41" s="691"/>
      <c r="E41" s="691"/>
      <c r="F41" s="691"/>
      <c r="G41" s="690"/>
      <c r="H41" s="1126"/>
    </row>
    <row r="42" spans="2:18" ht="21" customHeight="1">
      <c r="B42" s="691" t="s">
        <v>778</v>
      </c>
      <c r="C42" s="691"/>
      <c r="D42" s="691"/>
      <c r="E42" s="691"/>
      <c r="F42" s="691"/>
      <c r="G42" s="690"/>
      <c r="H42" s="1126">
        <f>+'46-Utility5'!K27</f>
        <v>0</v>
      </c>
    </row>
    <row r="43" spans="2:18" ht="21" customHeight="1" thickBot="1">
      <c r="B43" s="691"/>
      <c r="C43" s="691"/>
      <c r="D43" s="691"/>
      <c r="E43" s="691"/>
      <c r="F43" s="691"/>
      <c r="G43" s="1131"/>
      <c r="H43" s="1132"/>
    </row>
    <row r="44" spans="2:18" ht="21" customHeight="1" thickBot="1">
      <c r="B44" s="691" t="s">
        <v>3500</v>
      </c>
      <c r="C44" s="691"/>
      <c r="D44" s="691"/>
      <c r="E44" s="691"/>
      <c r="F44" s="691"/>
      <c r="G44" s="1133">
        <f>SUM(G12:G43)</f>
        <v>0</v>
      </c>
      <c r="H44" s="1134">
        <f>SUM(H39:H43)</f>
        <v>0</v>
      </c>
      <c r="J44" s="399">
        <f>G44-H44</f>
        <v>0</v>
      </c>
    </row>
    <row r="45" spans="2:18" ht="13.8" thickTop="1">
      <c r="B45" s="1865" t="s">
        <v>127</v>
      </c>
      <c r="C45" s="1865"/>
      <c r="D45" s="1865"/>
      <c r="E45" s="1865"/>
      <c r="F45" s="1865"/>
      <c r="G45" s="1865"/>
      <c r="H45" s="1865"/>
    </row>
    <row r="46" spans="2:18">
      <c r="B46" s="1301"/>
      <c r="C46" s="1301"/>
      <c r="D46" s="1301"/>
      <c r="E46" s="1301"/>
      <c r="F46" s="1301"/>
      <c r="G46" s="1301"/>
      <c r="H46" s="1301"/>
    </row>
    <row r="47" spans="2:18">
      <c r="B47" s="1301"/>
      <c r="C47" s="1301"/>
      <c r="D47" s="1301"/>
      <c r="E47" s="1301"/>
      <c r="F47" s="1301"/>
      <c r="G47" s="1301"/>
      <c r="H47" s="1301"/>
    </row>
    <row r="48" spans="2:18">
      <c r="B48" s="1301"/>
      <c r="C48" s="1301"/>
      <c r="D48" s="1301"/>
      <c r="E48" s="1301"/>
      <c r="F48" s="1301"/>
      <c r="G48" s="1301"/>
      <c r="H48" s="1301"/>
    </row>
    <row r="49" spans="2:8">
      <c r="B49" s="1301"/>
      <c r="C49" s="1301"/>
      <c r="D49" s="1301"/>
      <c r="E49" s="1301"/>
      <c r="F49" s="1301"/>
      <c r="G49" s="1301"/>
      <c r="H49" s="1301"/>
    </row>
    <row r="50" spans="2:8" ht="13.8">
      <c r="B50" s="1951" t="s">
        <v>3407</v>
      </c>
      <c r="C50" s="1951"/>
      <c r="D50" s="1951"/>
      <c r="E50" s="1951"/>
      <c r="F50" s="1951"/>
      <c r="G50" s="1951"/>
      <c r="H50" s="1951"/>
    </row>
    <row r="54" spans="2:8">
      <c r="H54" s="399"/>
    </row>
    <row r="57" spans="2:8">
      <c r="H57" s="399">
        <f>+H44-G44</f>
        <v>0</v>
      </c>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8">
    <tabColor theme="7"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INPUTS'!D56)&amp;"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1116"/>
      <c r="C12" s="1116"/>
      <c r="D12" s="1116"/>
      <c r="E12" s="1116"/>
      <c r="F12" s="1116"/>
      <c r="G12" s="1119"/>
      <c r="H12" s="1120"/>
    </row>
    <row r="13" spans="2:17" ht="21" customHeight="1">
      <c r="B13" s="1127" t="s">
        <v>809</v>
      </c>
      <c r="C13" s="691"/>
      <c r="D13" s="691"/>
      <c r="E13" s="691"/>
      <c r="F13" s="691"/>
      <c r="G13" s="690"/>
      <c r="H13" s="1126"/>
      <c r="K13" s="322"/>
      <c r="L13" s="322"/>
      <c r="M13" s="322"/>
      <c r="N13" s="322"/>
      <c r="O13" s="322"/>
      <c r="P13" s="322"/>
      <c r="Q13" s="322"/>
    </row>
    <row r="14" spans="2:17" ht="21" customHeight="1">
      <c r="B14" s="691"/>
      <c r="C14" s="691"/>
      <c r="D14" s="691"/>
      <c r="E14" s="691"/>
      <c r="F14" s="691"/>
      <c r="G14" s="690"/>
      <c r="H14" s="1126"/>
      <c r="K14" s="322"/>
      <c r="L14" s="322"/>
      <c r="M14" s="322"/>
      <c r="N14" s="322"/>
      <c r="O14" s="322"/>
      <c r="P14" s="322"/>
      <c r="Q14" s="322"/>
    </row>
    <row r="15" spans="2:17" ht="21" customHeight="1">
      <c r="B15" s="1116" t="s">
        <v>251</v>
      </c>
      <c r="C15" s="691"/>
      <c r="D15" s="691"/>
      <c r="E15" s="691"/>
      <c r="F15" s="691"/>
      <c r="G15" s="372"/>
      <c r="H15" s="1302" t="s">
        <v>788</v>
      </c>
      <c r="K15" s="377"/>
      <c r="L15" s="322"/>
      <c r="M15" s="322"/>
      <c r="N15" s="322"/>
      <c r="O15" s="322"/>
      <c r="P15" s="322"/>
      <c r="Q15" s="322"/>
    </row>
    <row r="16" spans="2:17" ht="21" customHeight="1">
      <c r="B16" s="691" t="s">
        <v>252</v>
      </c>
      <c r="C16" s="691"/>
      <c r="D16" s="691"/>
      <c r="E16" s="691"/>
      <c r="F16" s="691"/>
      <c r="G16" s="1176" t="s">
        <v>788</v>
      </c>
      <c r="H16" s="915">
        <f>+G15</f>
        <v>0</v>
      </c>
      <c r="K16" s="322"/>
      <c r="L16" s="322"/>
      <c r="M16" s="322"/>
      <c r="N16" s="322"/>
      <c r="O16" s="322"/>
      <c r="P16" s="322"/>
      <c r="Q16" s="322"/>
    </row>
    <row r="17" spans="2:17" ht="21" customHeight="1">
      <c r="B17" s="691"/>
      <c r="C17" s="691"/>
      <c r="D17" s="691"/>
      <c r="E17" s="691"/>
      <c r="F17" s="691"/>
      <c r="G17" s="908"/>
      <c r="H17" s="915"/>
      <c r="K17" s="322"/>
      <c r="L17" s="322"/>
      <c r="M17" s="322"/>
      <c r="N17" s="322"/>
      <c r="O17" s="322"/>
      <c r="P17" s="322"/>
      <c r="Q17" s="322"/>
    </row>
    <row r="18" spans="2:17" ht="21" customHeight="1">
      <c r="B18" s="691"/>
      <c r="C18" s="691" t="s">
        <v>459</v>
      </c>
      <c r="D18" s="691"/>
      <c r="E18" s="691"/>
      <c r="F18" s="691"/>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1"/>
      <c r="C20" s="691" t="s">
        <v>1154</v>
      </c>
      <c r="D20" s="691"/>
      <c r="E20" s="691"/>
      <c r="F20" s="691"/>
      <c r="G20" s="372"/>
      <c r="H20" s="568"/>
      <c r="K20" s="322"/>
      <c r="L20" s="322"/>
      <c r="M20" s="322"/>
      <c r="N20" s="322"/>
      <c r="O20" s="322"/>
      <c r="P20" s="322"/>
      <c r="Q20" s="322"/>
    </row>
    <row r="21" spans="2:17" ht="21" customHeight="1">
      <c r="B21" s="691"/>
      <c r="C21" s="691" t="s">
        <v>810</v>
      </c>
      <c r="D21" s="691"/>
      <c r="E21" s="691"/>
      <c r="F21" s="691"/>
      <c r="G21" s="908"/>
      <c r="H21" s="909"/>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838</v>
      </c>
      <c r="E23" s="691"/>
      <c r="F23" s="691"/>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1"/>
      <c r="C43" s="691"/>
      <c r="D43" s="691"/>
      <c r="E43" s="691"/>
      <c r="F43" s="691"/>
      <c r="G43" s="1296"/>
      <c r="H43" s="1297"/>
      <c r="I43" s="399"/>
      <c r="M43" s="399"/>
    </row>
    <row r="44" spans="2:17" ht="21" customHeight="1" thickBot="1">
      <c r="B44" s="691"/>
      <c r="C44" s="691" t="s">
        <v>3546</v>
      </c>
      <c r="D44" s="691"/>
      <c r="E44" s="691"/>
      <c r="F44" s="691"/>
      <c r="G44" s="1298">
        <f>SUM(G15:G42)</f>
        <v>0</v>
      </c>
      <c r="H44" s="1299">
        <f>SUM(H15:H43)</f>
        <v>0</v>
      </c>
      <c r="I44" s="399"/>
      <c r="K44" s="399"/>
    </row>
    <row r="45" spans="2:17" ht="13.8" thickTop="1">
      <c r="B45" s="1918" t="s">
        <v>127</v>
      </c>
      <c r="C45" s="1918"/>
      <c r="D45" s="1918"/>
      <c r="E45" s="1918"/>
      <c r="F45" s="1918"/>
      <c r="G45" s="1919"/>
      <c r="H45" s="1919"/>
    </row>
    <row r="46" spans="2:17">
      <c r="B46" s="1301"/>
      <c r="C46" s="1301"/>
      <c r="D46" s="1301"/>
      <c r="E46" s="1301"/>
      <c r="F46" s="1301"/>
      <c r="G46" s="1301"/>
      <c r="H46" s="1301"/>
    </row>
    <row r="47" spans="2:17">
      <c r="B47" s="1301"/>
      <c r="C47" s="1301"/>
      <c r="D47" s="1301"/>
      <c r="E47" s="1301"/>
      <c r="F47" s="1301"/>
      <c r="G47" s="1301"/>
      <c r="H47" s="1301"/>
    </row>
    <row r="48" spans="2:17">
      <c r="B48" s="1301"/>
      <c r="C48" s="1301"/>
      <c r="D48" s="1301"/>
      <c r="E48" s="1301"/>
      <c r="F48" s="1301"/>
      <c r="G48" s="1301"/>
      <c r="H48" s="1301"/>
    </row>
    <row r="49" spans="2:8">
      <c r="B49" s="1301"/>
      <c r="C49" s="1301"/>
      <c r="D49" s="1301"/>
      <c r="E49" s="1301"/>
      <c r="F49" s="1301"/>
      <c r="G49" s="1301"/>
      <c r="H49" s="1301"/>
    </row>
    <row r="50" spans="2:8" ht="13.8">
      <c r="B50" s="1951" t="s">
        <v>3413</v>
      </c>
      <c r="C50" s="1951"/>
      <c r="D50" s="1951"/>
      <c r="E50" s="1951"/>
      <c r="F50" s="1951"/>
      <c r="G50" s="1951"/>
      <c r="H50" s="1951"/>
    </row>
    <row r="55" spans="2:8">
      <c r="H55" s="399"/>
    </row>
  </sheetData>
  <sheetProtection algorithmName="SHA-512" hashValue="oTMONp2h1/vIh1KzlK45ZEqVhfA4b9PXkEyVdRxJ3sJS8sVVyPBZdCY1ArdHnT9KNuQQp18wXUm7zUK2/fuxKg==" saltValue="ACovUX+ZCIJpQDDk+qtd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2:O52"/>
  <sheetViews>
    <sheetView zoomScaleNormal="100" workbookViewId="0">
      <selection activeCell="B1" sqref="B1"/>
    </sheetView>
  </sheetViews>
  <sheetFormatPr defaultColWidth="9.109375" defaultRowHeight="13.2"/>
  <cols>
    <col min="1" max="3" width="4.6640625" style="322" customWidth="1"/>
    <col min="4" max="4" width="9.109375" style="322"/>
    <col min="5" max="5" width="11.88671875" style="322" customWidth="1"/>
    <col min="6" max="6" width="1.6640625" style="322" customWidth="1"/>
    <col min="7" max="7" width="14.6640625" style="322" customWidth="1"/>
    <col min="8" max="8" width="1.6640625" style="322" customWidth="1"/>
    <col min="9" max="9" width="14.6640625" style="322" customWidth="1"/>
    <col min="10" max="10" width="1.6640625" style="322" customWidth="1"/>
    <col min="11" max="11" width="14.6640625" style="322" customWidth="1"/>
    <col min="12" max="12" width="1.6640625" style="322" customWidth="1"/>
    <col min="13" max="13" width="14.6640625" style="322" customWidth="1"/>
    <col min="14" max="14" width="10.88671875" style="322" bestFit="1" customWidth="1"/>
    <col min="15" max="15" width="13.5546875" style="322" bestFit="1" customWidth="1"/>
    <col min="16" max="16384" width="9.109375" style="322"/>
  </cols>
  <sheetData>
    <row r="2" spans="2:15" ht="20.399999999999999">
      <c r="B2" s="1508" t="s">
        <v>3642</v>
      </c>
      <c r="C2" s="1508"/>
      <c r="D2" s="1508"/>
      <c r="E2" s="1508"/>
      <c r="F2" s="1508"/>
      <c r="G2" s="1508"/>
      <c r="H2" s="1508"/>
      <c r="I2" s="1508"/>
      <c r="J2" s="1508"/>
      <c r="K2" s="1508"/>
      <c r="L2" s="1508"/>
      <c r="M2" s="1508"/>
    </row>
    <row r="3" spans="2:15">
      <c r="B3" s="1511"/>
      <c r="C3" s="1511"/>
      <c r="D3" s="1511"/>
      <c r="E3" s="1511"/>
      <c r="F3" s="1511"/>
      <c r="G3" s="1511"/>
      <c r="H3" s="1511"/>
      <c r="I3" s="1511"/>
      <c r="J3" s="1511"/>
      <c r="K3" s="1511"/>
      <c r="L3" s="1511"/>
      <c r="M3" s="1511"/>
    </row>
    <row r="5" spans="2:15">
      <c r="B5" s="1571"/>
      <c r="C5" s="1571"/>
      <c r="D5" s="1571"/>
      <c r="G5" s="734" t="s">
        <v>533</v>
      </c>
      <c r="I5" s="736"/>
      <c r="K5" s="736"/>
    </row>
    <row r="6" spans="2:15">
      <c r="B6" s="1571"/>
      <c r="C6" s="1571"/>
      <c r="D6" s="1571"/>
      <c r="G6" s="297" t="str">
        <f>'KEY INPUTS'!D45</f>
        <v>Dec. 31, 2018</v>
      </c>
      <c r="I6" s="734"/>
      <c r="K6" s="734"/>
      <c r="M6" s="734" t="s">
        <v>672</v>
      </c>
    </row>
    <row r="7" spans="2:15">
      <c r="G7" s="734" t="s">
        <v>552</v>
      </c>
      <c r="I7" s="734"/>
      <c r="K7" s="734"/>
      <c r="M7" s="734" t="s">
        <v>556</v>
      </c>
    </row>
    <row r="8" spans="2:15">
      <c r="B8" s="1571" t="s">
        <v>532</v>
      </c>
      <c r="C8" s="1571"/>
      <c r="D8" s="1571"/>
      <c r="G8" s="736" t="s">
        <v>551</v>
      </c>
      <c r="I8" s="736" t="s">
        <v>546</v>
      </c>
      <c r="K8" s="736" t="s">
        <v>678</v>
      </c>
      <c r="M8" s="294" t="str">
        <f>'KEY INPUTS'!D46</f>
        <v>Dec. 31, 2019</v>
      </c>
    </row>
    <row r="9" spans="2:15">
      <c r="B9" s="736"/>
      <c r="C9" s="736"/>
      <c r="D9" s="736"/>
      <c r="G9" s="250"/>
      <c r="I9" s="736"/>
      <c r="K9" s="736"/>
      <c r="M9" s="133"/>
    </row>
    <row r="10" spans="2:15" ht="21" customHeight="1">
      <c r="B10" s="858" t="s">
        <v>3540</v>
      </c>
      <c r="C10" s="859"/>
      <c r="D10" s="859"/>
      <c r="E10" s="859"/>
      <c r="F10" s="841"/>
      <c r="G10" s="860">
        <f>+'6b.3-Trust Fund Reserves'!G48</f>
        <v>4869244.87</v>
      </c>
      <c r="H10" s="841"/>
      <c r="I10" s="860">
        <f>+'6b.3-Trust Fund Reserves'!I48</f>
        <v>4146662.7600000002</v>
      </c>
      <c r="J10" s="841"/>
      <c r="K10" s="860">
        <f>+'6b.3-Trust Fund Reserves'!K48</f>
        <v>3351624.0200000005</v>
      </c>
      <c r="L10" s="841"/>
      <c r="M10" s="860">
        <f>+'6b.3-Trust Fund Reserves'!M48</f>
        <v>5664283.6099999994</v>
      </c>
      <c r="N10" s="325"/>
      <c r="O10" s="325"/>
    </row>
    <row r="11" spans="2:15" ht="21" customHeight="1">
      <c r="B11" s="375"/>
      <c r="C11" s="375"/>
      <c r="D11" s="375"/>
      <c r="E11" s="375"/>
      <c r="F11" s="397"/>
      <c r="G11" s="376"/>
      <c r="H11" s="397"/>
      <c r="I11" s="376"/>
      <c r="J11" s="397"/>
      <c r="K11" s="376"/>
      <c r="L11" s="379"/>
      <c r="M11" s="857">
        <f t="shared" ref="M11:M47" si="0">+G11+I11-K11</f>
        <v>0</v>
      </c>
      <c r="N11" s="325"/>
    </row>
    <row r="12" spans="2:15" ht="21" customHeight="1">
      <c r="B12" s="375"/>
      <c r="C12" s="375"/>
      <c r="D12" s="375"/>
      <c r="E12" s="375"/>
      <c r="F12" s="397"/>
      <c r="G12" s="376"/>
      <c r="H12" s="397"/>
      <c r="I12" s="376"/>
      <c r="J12" s="397"/>
      <c r="K12" s="376"/>
      <c r="L12" s="379"/>
      <c r="M12" s="857">
        <f t="shared" si="0"/>
        <v>0</v>
      </c>
      <c r="N12" s="325"/>
    </row>
    <row r="13" spans="2:15" ht="21" customHeight="1">
      <c r="B13" s="375"/>
      <c r="C13" s="375"/>
      <c r="D13" s="375"/>
      <c r="E13" s="375"/>
      <c r="F13" s="397"/>
      <c r="G13" s="376"/>
      <c r="H13" s="397"/>
      <c r="I13" s="666"/>
      <c r="J13" s="397"/>
      <c r="K13" s="376"/>
      <c r="L13" s="379"/>
      <c r="M13" s="857">
        <f t="shared" si="0"/>
        <v>0</v>
      </c>
      <c r="N13" s="325"/>
      <c r="O13" s="377"/>
    </row>
    <row r="14" spans="2:15" ht="21" customHeight="1">
      <c r="B14" s="667"/>
      <c r="C14" s="375"/>
      <c r="D14" s="375"/>
      <c r="E14" s="375"/>
      <c r="F14" s="397"/>
      <c r="G14" s="376"/>
      <c r="H14" s="397"/>
      <c r="I14" s="376"/>
      <c r="J14" s="397"/>
      <c r="K14" s="376"/>
      <c r="L14" s="379"/>
      <c r="M14" s="857">
        <f t="shared" si="0"/>
        <v>0</v>
      </c>
      <c r="N14" s="325"/>
    </row>
    <row r="15" spans="2:15" ht="21" customHeight="1">
      <c r="B15" s="375"/>
      <c r="C15" s="375"/>
      <c r="D15" s="375"/>
      <c r="E15" s="375"/>
      <c r="F15" s="397"/>
      <c r="G15" s="376"/>
      <c r="H15" s="397"/>
      <c r="I15" s="376"/>
      <c r="J15" s="397"/>
      <c r="K15" s="376"/>
      <c r="L15" s="379"/>
      <c r="M15" s="857">
        <f t="shared" si="0"/>
        <v>0</v>
      </c>
      <c r="N15" s="325"/>
    </row>
    <row r="16" spans="2:15" ht="21" customHeight="1">
      <c r="B16" s="375"/>
      <c r="C16" s="375"/>
      <c r="D16" s="375"/>
      <c r="E16" s="375"/>
      <c r="F16" s="397"/>
      <c r="G16" s="376"/>
      <c r="H16" s="397"/>
      <c r="I16" s="376"/>
      <c r="J16" s="397"/>
      <c r="K16" s="376"/>
      <c r="L16" s="379"/>
      <c r="M16" s="857">
        <f t="shared" si="0"/>
        <v>0</v>
      </c>
      <c r="N16" s="325"/>
    </row>
    <row r="17" spans="2:14" ht="21" customHeight="1">
      <c r="B17" s="375"/>
      <c r="C17" s="375"/>
      <c r="D17" s="375"/>
      <c r="E17" s="375"/>
      <c r="F17" s="397"/>
      <c r="G17" s="376"/>
      <c r="H17" s="397"/>
      <c r="I17" s="376"/>
      <c r="J17" s="397"/>
      <c r="K17" s="376"/>
      <c r="L17" s="379"/>
      <c r="M17" s="857">
        <f t="shared" si="0"/>
        <v>0</v>
      </c>
      <c r="N17" s="325"/>
    </row>
    <row r="18" spans="2:14" ht="21" customHeight="1">
      <c r="B18" s="375"/>
      <c r="C18" s="375"/>
      <c r="D18" s="375"/>
      <c r="E18" s="375"/>
      <c r="F18" s="397"/>
      <c r="G18" s="376"/>
      <c r="H18" s="397"/>
      <c r="I18" s="376"/>
      <c r="J18" s="397"/>
      <c r="K18" s="376"/>
      <c r="L18" s="379"/>
      <c r="M18" s="857">
        <f t="shared" si="0"/>
        <v>0</v>
      </c>
      <c r="N18" s="325"/>
    </row>
    <row r="19" spans="2:14" ht="21" customHeight="1">
      <c r="B19" s="667"/>
      <c r="C19" s="375"/>
      <c r="D19" s="375"/>
      <c r="E19" s="375"/>
      <c r="F19" s="397"/>
      <c r="G19" s="376"/>
      <c r="H19" s="397"/>
      <c r="I19" s="376"/>
      <c r="J19" s="397"/>
      <c r="K19" s="376"/>
      <c r="L19" s="379"/>
      <c r="M19" s="857">
        <f t="shared" si="0"/>
        <v>0</v>
      </c>
      <c r="N19" s="325"/>
    </row>
    <row r="20" spans="2:14" ht="21" customHeight="1">
      <c r="B20" s="667"/>
      <c r="C20" s="375"/>
      <c r="D20" s="375"/>
      <c r="E20" s="375"/>
      <c r="F20" s="397"/>
      <c r="G20" s="376"/>
      <c r="H20" s="397"/>
      <c r="I20" s="376"/>
      <c r="J20" s="397"/>
      <c r="K20" s="376"/>
      <c r="L20" s="379"/>
      <c r="M20" s="857">
        <f t="shared" si="0"/>
        <v>0</v>
      </c>
      <c r="N20" s="325"/>
    </row>
    <row r="21" spans="2:14" ht="21" customHeight="1">
      <c r="B21" s="667"/>
      <c r="C21" s="375"/>
      <c r="D21" s="375"/>
      <c r="E21" s="375"/>
      <c r="F21" s="397"/>
      <c r="G21" s="376"/>
      <c r="H21" s="397"/>
      <c r="I21" s="376"/>
      <c r="J21" s="397"/>
      <c r="K21" s="376"/>
      <c r="L21" s="379"/>
      <c r="M21" s="857">
        <f t="shared" si="0"/>
        <v>0</v>
      </c>
      <c r="N21" s="325"/>
    </row>
    <row r="22" spans="2:14" ht="21" customHeight="1">
      <c r="B22" s="667"/>
      <c r="C22" s="375"/>
      <c r="D22" s="375"/>
      <c r="E22" s="375"/>
      <c r="F22" s="397"/>
      <c r="G22" s="376"/>
      <c r="H22" s="397"/>
      <c r="I22" s="376"/>
      <c r="J22" s="397"/>
      <c r="K22" s="376"/>
      <c r="L22" s="379"/>
      <c r="M22" s="857">
        <f t="shared" si="0"/>
        <v>0</v>
      </c>
      <c r="N22" s="325"/>
    </row>
    <row r="23" spans="2:14" ht="21" customHeight="1">
      <c r="B23" s="667"/>
      <c r="C23" s="375"/>
      <c r="D23" s="375"/>
      <c r="E23" s="375"/>
      <c r="F23" s="397"/>
      <c r="G23" s="376"/>
      <c r="H23" s="397"/>
      <c r="I23" s="376"/>
      <c r="J23" s="397"/>
      <c r="K23" s="376"/>
      <c r="L23" s="379"/>
      <c r="M23" s="857">
        <f t="shared" si="0"/>
        <v>0</v>
      </c>
      <c r="N23" s="325"/>
    </row>
    <row r="24" spans="2:14" ht="21" customHeight="1">
      <c r="B24" s="667"/>
      <c r="C24" s="375"/>
      <c r="D24" s="375"/>
      <c r="E24" s="375"/>
      <c r="F24" s="397"/>
      <c r="G24" s="376"/>
      <c r="H24" s="397"/>
      <c r="I24" s="376"/>
      <c r="J24" s="397"/>
      <c r="K24" s="376"/>
      <c r="L24" s="379"/>
      <c r="M24" s="857">
        <f t="shared" si="0"/>
        <v>0</v>
      </c>
      <c r="N24" s="325"/>
    </row>
    <row r="25" spans="2:14" ht="21" customHeight="1">
      <c r="B25" s="375"/>
      <c r="C25" s="375"/>
      <c r="D25" s="375"/>
      <c r="E25" s="375"/>
      <c r="F25" s="397"/>
      <c r="G25" s="376"/>
      <c r="H25" s="397"/>
      <c r="I25" s="376"/>
      <c r="J25" s="397"/>
      <c r="K25" s="376"/>
      <c r="L25" s="379"/>
      <c r="M25" s="857">
        <f t="shared" si="0"/>
        <v>0</v>
      </c>
      <c r="N25" s="325"/>
    </row>
    <row r="26" spans="2:14" ht="21" customHeight="1">
      <c r="B26" s="375"/>
      <c r="C26" s="375"/>
      <c r="D26" s="375"/>
      <c r="E26" s="375"/>
      <c r="F26" s="397"/>
      <c r="G26" s="376"/>
      <c r="H26" s="397"/>
      <c r="I26" s="376"/>
      <c r="J26" s="397"/>
      <c r="K26" s="376"/>
      <c r="L26" s="379"/>
      <c r="M26" s="857">
        <f t="shared" si="0"/>
        <v>0</v>
      </c>
    </row>
    <row r="27" spans="2:14" ht="21" customHeight="1">
      <c r="B27" s="375"/>
      <c r="C27" s="375"/>
      <c r="D27" s="375"/>
      <c r="E27" s="375"/>
      <c r="F27" s="397"/>
      <c r="G27" s="376"/>
      <c r="H27" s="397"/>
      <c r="I27" s="376"/>
      <c r="J27" s="397"/>
      <c r="K27" s="376"/>
      <c r="L27" s="379"/>
      <c r="M27" s="857">
        <f t="shared" si="0"/>
        <v>0</v>
      </c>
    </row>
    <row r="28" spans="2:14" ht="21" customHeight="1">
      <c r="B28" s="375"/>
      <c r="C28" s="375"/>
      <c r="D28" s="375"/>
      <c r="E28" s="375"/>
      <c r="F28" s="397"/>
      <c r="G28" s="376"/>
      <c r="H28" s="397"/>
      <c r="I28" s="376"/>
      <c r="J28" s="397"/>
      <c r="K28" s="376"/>
      <c r="L28" s="379"/>
      <c r="M28" s="857">
        <f t="shared" si="0"/>
        <v>0</v>
      </c>
    </row>
    <row r="29" spans="2:14" ht="21" customHeight="1">
      <c r="B29" s="375"/>
      <c r="C29" s="375"/>
      <c r="D29" s="375"/>
      <c r="E29" s="375"/>
      <c r="F29" s="397"/>
      <c r="G29" s="376"/>
      <c r="H29" s="397"/>
      <c r="I29" s="376"/>
      <c r="J29" s="397"/>
      <c r="K29" s="376"/>
      <c r="L29" s="379"/>
      <c r="M29" s="857">
        <f t="shared" si="0"/>
        <v>0</v>
      </c>
    </row>
    <row r="30" spans="2:14" ht="21" customHeight="1">
      <c r="B30" s="375"/>
      <c r="C30" s="375"/>
      <c r="D30" s="375"/>
      <c r="E30" s="375"/>
      <c r="F30" s="397"/>
      <c r="G30" s="376"/>
      <c r="H30" s="397"/>
      <c r="I30" s="376"/>
      <c r="J30" s="397"/>
      <c r="K30" s="376"/>
      <c r="L30" s="379"/>
      <c r="M30" s="857">
        <f t="shared" si="0"/>
        <v>0</v>
      </c>
    </row>
    <row r="31" spans="2:14" ht="21" customHeight="1">
      <c r="B31" s="375"/>
      <c r="C31" s="375"/>
      <c r="D31" s="375"/>
      <c r="E31" s="375"/>
      <c r="F31" s="397"/>
      <c r="G31" s="376"/>
      <c r="H31" s="397"/>
      <c r="I31" s="376"/>
      <c r="J31" s="397"/>
      <c r="K31" s="376"/>
      <c r="L31" s="379"/>
      <c r="M31" s="857">
        <f t="shared" si="0"/>
        <v>0</v>
      </c>
    </row>
    <row r="32" spans="2:14" ht="21" customHeight="1">
      <c r="B32" s="375"/>
      <c r="C32" s="375"/>
      <c r="D32" s="375"/>
      <c r="E32" s="375"/>
      <c r="F32" s="397"/>
      <c r="G32" s="376"/>
      <c r="H32" s="397"/>
      <c r="I32" s="376"/>
      <c r="J32" s="397"/>
      <c r="K32" s="376"/>
      <c r="L32" s="379"/>
      <c r="M32" s="857">
        <f t="shared" si="0"/>
        <v>0</v>
      </c>
    </row>
    <row r="33" spans="2:13" ht="21" customHeight="1">
      <c r="B33" s="375"/>
      <c r="C33" s="375"/>
      <c r="D33" s="375"/>
      <c r="E33" s="375"/>
      <c r="F33" s="397"/>
      <c r="G33" s="376"/>
      <c r="H33" s="397"/>
      <c r="I33" s="376"/>
      <c r="J33" s="397"/>
      <c r="K33" s="376"/>
      <c r="L33" s="379"/>
      <c r="M33" s="857">
        <f t="shared" si="0"/>
        <v>0</v>
      </c>
    </row>
    <row r="34" spans="2:13" ht="21" customHeight="1">
      <c r="B34" s="375"/>
      <c r="C34" s="375"/>
      <c r="D34" s="375"/>
      <c r="E34" s="375"/>
      <c r="F34" s="397"/>
      <c r="G34" s="376"/>
      <c r="H34" s="397"/>
      <c r="I34" s="376"/>
      <c r="J34" s="397"/>
      <c r="K34" s="376"/>
      <c r="L34" s="379"/>
      <c r="M34" s="857">
        <f t="shared" si="0"/>
        <v>0</v>
      </c>
    </row>
    <row r="35" spans="2:13" ht="21" customHeight="1">
      <c r="B35" s="375"/>
      <c r="C35" s="375"/>
      <c r="D35" s="375"/>
      <c r="E35" s="375"/>
      <c r="F35" s="397"/>
      <c r="G35" s="376"/>
      <c r="H35" s="397"/>
      <c r="I35" s="376"/>
      <c r="J35" s="397"/>
      <c r="K35" s="376"/>
      <c r="L35" s="379"/>
      <c r="M35" s="857">
        <f t="shared" si="0"/>
        <v>0</v>
      </c>
    </row>
    <row r="36" spans="2:13" ht="21" customHeight="1">
      <c r="B36" s="375"/>
      <c r="C36" s="375"/>
      <c r="D36" s="375"/>
      <c r="E36" s="375"/>
      <c r="F36" s="397"/>
      <c r="G36" s="376"/>
      <c r="H36" s="397"/>
      <c r="I36" s="376"/>
      <c r="J36" s="397"/>
      <c r="K36" s="376"/>
      <c r="L36" s="379"/>
      <c r="M36" s="857">
        <f t="shared" si="0"/>
        <v>0</v>
      </c>
    </row>
    <row r="37" spans="2:13" ht="21" customHeight="1">
      <c r="B37" s="375"/>
      <c r="C37" s="375"/>
      <c r="D37" s="375"/>
      <c r="E37" s="375"/>
      <c r="F37" s="397"/>
      <c r="G37" s="376"/>
      <c r="H37" s="397"/>
      <c r="I37" s="376"/>
      <c r="J37" s="397"/>
      <c r="K37" s="376"/>
      <c r="L37" s="379"/>
      <c r="M37" s="857">
        <f t="shared" si="0"/>
        <v>0</v>
      </c>
    </row>
    <row r="38" spans="2:13" ht="21" customHeight="1">
      <c r="B38" s="375"/>
      <c r="C38" s="375"/>
      <c r="D38" s="375"/>
      <c r="E38" s="375"/>
      <c r="F38" s="397"/>
      <c r="G38" s="376"/>
      <c r="H38" s="397"/>
      <c r="I38" s="376"/>
      <c r="J38" s="397"/>
      <c r="K38" s="376"/>
      <c r="L38" s="379"/>
      <c r="M38" s="857">
        <f t="shared" si="0"/>
        <v>0</v>
      </c>
    </row>
    <row r="39" spans="2:13" ht="21" customHeight="1">
      <c r="B39" s="375"/>
      <c r="C39" s="375"/>
      <c r="D39" s="375"/>
      <c r="E39" s="375"/>
      <c r="F39" s="397"/>
      <c r="G39" s="376"/>
      <c r="H39" s="397"/>
      <c r="I39" s="376"/>
      <c r="J39" s="397"/>
      <c r="K39" s="376"/>
      <c r="L39" s="379"/>
      <c r="M39" s="857">
        <f t="shared" si="0"/>
        <v>0</v>
      </c>
    </row>
    <row r="40" spans="2:13" ht="21" customHeight="1">
      <c r="B40" s="375"/>
      <c r="C40" s="375"/>
      <c r="D40" s="375"/>
      <c r="E40" s="375"/>
      <c r="F40" s="397"/>
      <c r="G40" s="376"/>
      <c r="H40" s="397"/>
      <c r="I40" s="376"/>
      <c r="J40" s="397"/>
      <c r="K40" s="376"/>
      <c r="L40" s="379"/>
      <c r="M40" s="857">
        <f t="shared" si="0"/>
        <v>0</v>
      </c>
    </row>
    <row r="41" spans="2:13" ht="21" customHeight="1">
      <c r="B41" s="375"/>
      <c r="C41" s="375"/>
      <c r="D41" s="375"/>
      <c r="E41" s="375"/>
      <c r="F41" s="397"/>
      <c r="G41" s="376"/>
      <c r="H41" s="397"/>
      <c r="I41" s="376"/>
      <c r="J41" s="397"/>
      <c r="K41" s="376"/>
      <c r="L41" s="379"/>
      <c r="M41" s="857">
        <f t="shared" si="0"/>
        <v>0</v>
      </c>
    </row>
    <row r="42" spans="2:13" ht="21" customHeight="1">
      <c r="B42" s="375"/>
      <c r="C42" s="375"/>
      <c r="D42" s="375"/>
      <c r="E42" s="375"/>
      <c r="F42" s="397"/>
      <c r="G42" s="376"/>
      <c r="H42" s="397"/>
      <c r="I42" s="376"/>
      <c r="J42" s="397"/>
      <c r="K42" s="376"/>
      <c r="L42" s="379"/>
      <c r="M42" s="857">
        <f t="shared" si="0"/>
        <v>0</v>
      </c>
    </row>
    <row r="43" spans="2:13" ht="21" customHeight="1">
      <c r="B43" s="375"/>
      <c r="C43" s="375"/>
      <c r="D43" s="375"/>
      <c r="E43" s="375"/>
      <c r="F43" s="397"/>
      <c r="G43" s="376"/>
      <c r="H43" s="397"/>
      <c r="I43" s="376"/>
      <c r="J43" s="397"/>
      <c r="K43" s="376"/>
      <c r="L43" s="379"/>
      <c r="M43" s="857">
        <f t="shared" si="0"/>
        <v>0</v>
      </c>
    </row>
    <row r="44" spans="2:13" ht="21" customHeight="1">
      <c r="B44" s="375"/>
      <c r="C44" s="375"/>
      <c r="D44" s="375"/>
      <c r="E44" s="375"/>
      <c r="F44" s="397"/>
      <c r="G44" s="376"/>
      <c r="H44" s="397"/>
      <c r="I44" s="376"/>
      <c r="J44" s="397"/>
      <c r="K44" s="376"/>
      <c r="L44" s="379"/>
      <c r="M44" s="857">
        <f t="shared" si="0"/>
        <v>0</v>
      </c>
    </row>
    <row r="45" spans="2:13" ht="21" customHeight="1">
      <c r="B45" s="375"/>
      <c r="C45" s="375"/>
      <c r="D45" s="375"/>
      <c r="E45" s="375"/>
      <c r="F45" s="397"/>
      <c r="G45" s="376"/>
      <c r="H45" s="397"/>
      <c r="I45" s="376"/>
      <c r="J45" s="397"/>
      <c r="K45" s="376"/>
      <c r="L45" s="379"/>
      <c r="M45" s="857">
        <f t="shared" si="0"/>
        <v>0</v>
      </c>
    </row>
    <row r="46" spans="2:13" ht="21" customHeight="1">
      <c r="B46" s="375"/>
      <c r="C46" s="375"/>
      <c r="D46" s="375"/>
      <c r="E46" s="375"/>
      <c r="F46" s="397"/>
      <c r="G46" s="376"/>
      <c r="H46" s="397"/>
      <c r="I46" s="376"/>
      <c r="J46" s="397"/>
      <c r="K46" s="376"/>
      <c r="L46" s="379"/>
      <c r="M46" s="857">
        <f t="shared" si="0"/>
        <v>0</v>
      </c>
    </row>
    <row r="47" spans="2:13" ht="21" customHeight="1">
      <c r="B47" s="375"/>
      <c r="C47" s="375"/>
      <c r="D47" s="375"/>
      <c r="E47" s="375"/>
      <c r="F47" s="397"/>
      <c r="G47" s="376"/>
      <c r="H47" s="397"/>
      <c r="I47" s="376"/>
      <c r="J47" s="397"/>
      <c r="K47" s="376"/>
      <c r="L47" s="379"/>
      <c r="M47" s="857">
        <f t="shared" si="0"/>
        <v>0</v>
      </c>
    </row>
    <row r="48" spans="2:13" ht="21" customHeight="1">
      <c r="B48" s="286"/>
      <c r="C48" s="286"/>
      <c r="D48" s="151" t="s">
        <v>3539</v>
      </c>
      <c r="E48" s="286"/>
      <c r="F48" s="322" t="s">
        <v>482</v>
      </c>
      <c r="G48" s="160">
        <f>SUM(G10:G47)</f>
        <v>4869244.87</v>
      </c>
      <c r="H48" s="322" t="s">
        <v>482</v>
      </c>
      <c r="I48" s="160">
        <f>SUM(I10:I47)</f>
        <v>4146662.7600000002</v>
      </c>
      <c r="J48" s="322" t="s">
        <v>482</v>
      </c>
      <c r="K48" s="160">
        <f>SUM(K10:K47)</f>
        <v>3351624.0200000005</v>
      </c>
      <c r="L48" s="322" t="s">
        <v>482</v>
      </c>
      <c r="M48" s="857">
        <f>SUM(M10:M47)</f>
        <v>5664283.6099999994</v>
      </c>
    </row>
    <row r="50" spans="2:13" ht="13.8">
      <c r="B50" s="1572" t="s">
        <v>3543</v>
      </c>
      <c r="C50" s="1572"/>
      <c r="D50" s="1572"/>
      <c r="E50" s="1572"/>
      <c r="F50" s="1572"/>
      <c r="G50" s="1572"/>
      <c r="H50" s="1572"/>
      <c r="I50" s="1572"/>
      <c r="J50" s="1572"/>
      <c r="K50" s="1572"/>
      <c r="L50" s="1572"/>
      <c r="M50" s="1572"/>
    </row>
    <row r="52" spans="2:13">
      <c r="G52" s="325"/>
      <c r="M52" s="325"/>
    </row>
  </sheetData>
  <sheetProtection algorithmName="SHA-512" hashValue="zhPvldl3vnub3CfrOxcK17A8552vptt9VcZ4iiZa7GpEPGrfea6+k1nBsqUKxxRgLSoqZ+MYmzhiAT9jPdW66Q==" saltValue="hyVUfCPsb8lPplRLkE1QJw=="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49">
    <tabColor theme="7" tint="0.39997558519241921"/>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INPUTS'!D56)&amp;"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691"/>
      <c r="C12" s="691" t="s">
        <v>3547</v>
      </c>
      <c r="D12" s="691"/>
      <c r="E12" s="691"/>
      <c r="F12" s="691"/>
      <c r="G12" s="908">
        <f>'41a-Utility5'!G44</f>
        <v>0</v>
      </c>
      <c r="H12" s="915">
        <f>'41a-Utility5'!H44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+'49-Utility5'!G22</f>
        <v>0</v>
      </c>
      <c r="K17" s="322"/>
      <c r="L17" s="322"/>
      <c r="M17" s="322"/>
      <c r="N17" s="322"/>
      <c r="O17" s="322"/>
      <c r="P17" s="322"/>
      <c r="Q17" s="322"/>
    </row>
    <row r="18" spans="2:17" ht="21" customHeight="1">
      <c r="B18" s="691"/>
      <c r="C18" s="691" t="s">
        <v>3680</v>
      </c>
      <c r="D18" s="691"/>
      <c r="E18" s="691"/>
      <c r="F18" s="691"/>
      <c r="G18" s="908"/>
      <c r="H18" s="915">
        <f>'49a-Utility5'!G11-'49a-Utility5'!G22+'49a.1-Utility5'!G11-'49a.1-Utility5'!G22</f>
        <v>0</v>
      </c>
    </row>
    <row r="19" spans="2:17" ht="21" customHeight="1">
      <c r="B19" s="691"/>
      <c r="C19" s="691" t="s">
        <v>3690</v>
      </c>
      <c r="D19" s="691"/>
      <c r="E19" s="691"/>
      <c r="F19" s="691"/>
      <c r="G19" s="908"/>
      <c r="H19" s="915">
        <f>+'51a-Utility5'!G23</f>
        <v>0</v>
      </c>
      <c r="K19" s="322"/>
      <c r="L19" s="322"/>
      <c r="M19" s="322"/>
      <c r="N19" s="322"/>
      <c r="O19" s="322"/>
      <c r="P19" s="322"/>
      <c r="Q19" s="322"/>
    </row>
    <row r="20" spans="2:17" ht="21" customHeight="1">
      <c r="B20" s="691"/>
      <c r="C20" s="916" t="s">
        <v>3415</v>
      </c>
      <c r="D20" s="691"/>
      <c r="E20" s="691"/>
      <c r="F20" s="691"/>
      <c r="G20" s="908"/>
      <c r="H20" s="915">
        <f>+'50-Utility5'!G18</f>
        <v>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+'52-Utility5'!K27</f>
        <v>0</v>
      </c>
      <c r="J22" s="399"/>
      <c r="K22" s="322"/>
      <c r="L22" s="322"/>
      <c r="M22" s="322"/>
      <c r="N22" s="322"/>
      <c r="O22" s="322"/>
      <c r="P22" s="322"/>
      <c r="Q22" s="322"/>
    </row>
    <row r="23" spans="2:17" ht="21" customHeight="1">
      <c r="B23" s="691"/>
      <c r="C23" s="691"/>
      <c r="D23" s="691" t="s">
        <v>1003</v>
      </c>
      <c r="E23" s="691"/>
      <c r="F23" s="691"/>
      <c r="G23" s="908"/>
      <c r="H23" s="915">
        <f>+'52-Utility5'!L27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1"/>
      <c r="C40" s="691" t="s">
        <v>3483</v>
      </c>
      <c r="D40" s="691"/>
      <c r="E40" s="691"/>
      <c r="F40" s="691"/>
      <c r="G40" s="908"/>
      <c r="H40" s="915">
        <f>+'53-Utility5'!I41</f>
        <v>0</v>
      </c>
    </row>
    <row r="41" spans="2:13" ht="21" customHeight="1">
      <c r="B41" s="691"/>
      <c r="C41" s="691" t="s">
        <v>1006</v>
      </c>
      <c r="D41" s="691"/>
      <c r="E41" s="691"/>
      <c r="F41" s="691"/>
      <c r="G41" s="908"/>
      <c r="H41" s="915">
        <f>+'53-Utility5'!I24</f>
        <v>0</v>
      </c>
    </row>
    <row r="42" spans="2:13" ht="21" customHeight="1">
      <c r="B42" s="691"/>
      <c r="C42" s="691" t="s">
        <v>808</v>
      </c>
      <c r="D42" s="691"/>
      <c r="E42" s="691"/>
      <c r="F42" s="691"/>
      <c r="G42" s="908"/>
      <c r="H42" s="915">
        <f>+'54-Utility5'!I42</f>
        <v>0</v>
      </c>
    </row>
    <row r="43" spans="2:13" ht="21" customHeight="1" thickBot="1">
      <c r="B43" s="691"/>
      <c r="C43" s="691"/>
      <c r="D43" s="691"/>
      <c r="E43" s="691"/>
      <c r="F43" s="691"/>
      <c r="G43" s="1296"/>
      <c r="H43" s="1297"/>
      <c r="I43" s="399"/>
      <c r="M43" s="399"/>
    </row>
    <row r="44" spans="2:13" ht="21" customHeight="1" thickBot="1">
      <c r="B44" s="691"/>
      <c r="C44" s="691" t="s">
        <v>1001</v>
      </c>
      <c r="D44" s="691"/>
      <c r="E44" s="691"/>
      <c r="F44" s="691"/>
      <c r="G44" s="1298">
        <f>SUM(G12:G42)</f>
        <v>0</v>
      </c>
      <c r="H44" s="1299">
        <f>SUM(H12:H43)</f>
        <v>0</v>
      </c>
      <c r="I44" s="399"/>
      <c r="K44" s="399"/>
    </row>
    <row r="45" spans="2:13" ht="13.8" thickTop="1">
      <c r="B45" s="1918" t="s">
        <v>127</v>
      </c>
      <c r="C45" s="1918"/>
      <c r="D45" s="1918"/>
      <c r="E45" s="1918"/>
      <c r="F45" s="1918"/>
      <c r="G45" s="1919"/>
      <c r="H45" s="1919"/>
    </row>
    <row r="46" spans="2:13">
      <c r="B46" s="1301"/>
      <c r="C46" s="1301"/>
      <c r="D46" s="1301"/>
      <c r="E46" s="1301"/>
      <c r="F46" s="1301"/>
      <c r="G46" s="1301"/>
      <c r="H46" s="1301"/>
    </row>
    <row r="47" spans="2:13">
      <c r="B47" s="1301"/>
      <c r="C47" s="1301"/>
      <c r="D47" s="1301"/>
      <c r="E47" s="1301"/>
      <c r="F47" s="1301"/>
      <c r="G47" s="1301"/>
      <c r="H47" s="1301"/>
    </row>
    <row r="48" spans="2:13">
      <c r="B48" s="1301"/>
      <c r="C48" s="1301"/>
      <c r="D48" s="1301"/>
      <c r="E48" s="1301"/>
      <c r="F48" s="1301"/>
      <c r="G48" s="1301"/>
      <c r="H48" s="1301"/>
    </row>
    <row r="49" spans="2:8">
      <c r="B49" s="1301"/>
      <c r="C49" s="1301"/>
      <c r="D49" s="1301"/>
      <c r="E49" s="1301"/>
      <c r="F49" s="1301"/>
      <c r="G49" s="1301"/>
      <c r="H49" s="1301"/>
    </row>
    <row r="50" spans="2:8" ht="13.8">
      <c r="B50" s="1951" t="s">
        <v>3692</v>
      </c>
      <c r="C50" s="1951"/>
      <c r="D50" s="1951"/>
      <c r="E50" s="1951"/>
      <c r="F50" s="1951"/>
      <c r="G50" s="1951"/>
      <c r="H50" s="1951"/>
    </row>
    <row r="55" spans="2:8">
      <c r="H55" s="399"/>
    </row>
  </sheetData>
  <sheetProtection algorithmName="SHA-512" hashValue="/Vf3udx2R+UBwVLvCFnM5Ir+aqK96TbAol0U1lhKe35fgCITuKvbpPC1PNxxzXG61bY5ttUSa70GJMvJ7nOLOg==" saltValue="9aOEsH722dxyZNGulww9t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0">
    <tabColor theme="7" tint="0.39997558519241921"/>
  </sheetPr>
  <dimension ref="B1: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8"/>
      <c r="C1" s="1148"/>
      <c r="D1" s="1148"/>
      <c r="E1" s="1148"/>
      <c r="F1" s="1148"/>
      <c r="G1" s="1148"/>
      <c r="H1" s="1148"/>
    </row>
    <row r="2" spans="2:18">
      <c r="B2" s="1148"/>
      <c r="C2" s="1148"/>
      <c r="D2" s="1148"/>
      <c r="E2" s="1148"/>
      <c r="F2" s="1148"/>
      <c r="G2" s="1148"/>
      <c r="H2" s="1148"/>
    </row>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601"/>
      <c r="H38" s="1128">
        <f>+'51-Utility1'!G23</f>
        <v>0</v>
      </c>
    </row>
    <row r="39" spans="2:8" ht="21" customHeight="1">
      <c r="B39" s="1139" t="s">
        <v>3485</v>
      </c>
      <c r="C39" s="1139"/>
      <c r="D39" s="1139"/>
      <c r="E39" s="1139"/>
      <c r="F39" s="1139"/>
      <c r="G39" s="601"/>
      <c r="H39" s="1128">
        <f>+'49-Utility1'!G11</f>
        <v>0</v>
      </c>
    </row>
    <row r="40" spans="2:8" ht="21" customHeight="1">
      <c r="B40" s="1139" t="s">
        <v>1000</v>
      </c>
      <c r="C40" s="1139"/>
      <c r="D40" s="1139"/>
      <c r="E40" s="1139"/>
      <c r="F40" s="1139"/>
      <c r="G40" s="601"/>
      <c r="H40" s="1128">
        <f>'43-Utility1'!L20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c r="C43" s="1141"/>
      <c r="D43" s="1141"/>
      <c r="E43" s="1141"/>
      <c r="F43" s="1141"/>
      <c r="G43" s="1107">
        <f>SUM(G11:G42)</f>
        <v>0</v>
      </c>
      <c r="H43" s="1142">
        <f>SUM(H11:H42)</f>
        <v>0</v>
      </c>
    </row>
    <row r="44" spans="2:8">
      <c r="B44" s="1788" t="s">
        <v>127</v>
      </c>
      <c r="C44" s="1788"/>
      <c r="D44" s="1788"/>
      <c r="E44" s="1788"/>
      <c r="F44" s="1788"/>
      <c r="G44" s="1788"/>
      <c r="H44" s="1788"/>
    </row>
    <row r="45" spans="2:8">
      <c r="B45" s="1143"/>
      <c r="C45" s="1143"/>
      <c r="D45" s="1143"/>
      <c r="E45" s="1143"/>
      <c r="F45" s="1143"/>
      <c r="G45" s="1143"/>
      <c r="H45" s="1143"/>
    </row>
    <row r="46" spans="2:8">
      <c r="B46" s="1143"/>
      <c r="C46" s="1143"/>
      <c r="D46" s="1143"/>
      <c r="E46" s="1143"/>
      <c r="F46" s="1143"/>
      <c r="G46" s="1143"/>
      <c r="H46" s="1143"/>
    </row>
    <row r="47" spans="2:8">
      <c r="B47" s="1143"/>
      <c r="C47" s="1143"/>
      <c r="D47" s="1143"/>
      <c r="E47" s="1143"/>
      <c r="F47" s="1143"/>
      <c r="G47" s="1143"/>
      <c r="H47" s="1143"/>
    </row>
    <row r="48" spans="2:8">
      <c r="B48" s="1143"/>
      <c r="C48" s="1143"/>
      <c r="D48" s="1143"/>
      <c r="E48" s="1143"/>
      <c r="F48" s="1143"/>
      <c r="G48" s="1143"/>
      <c r="H48" s="1143"/>
    </row>
    <row r="49" spans="2:8" ht="13.8">
      <c r="B49" s="1781" t="s">
        <v>3417</v>
      </c>
      <c r="C49" s="1781"/>
      <c r="D49" s="1781"/>
      <c r="E49" s="1781"/>
      <c r="F49" s="1781"/>
      <c r="G49" s="1781"/>
      <c r="H49" s="178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1">
    <tabColor theme="7" tint="0.39997558519241921"/>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INPUTS'!D56)&amp;" UTILITY  ASSESSMENT  TRUST  CASH  AND  INVESTMENTS"</f>
        <v>ANALYSIS  OF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2">
    <tabColor theme="7" tint="0.39997558519241921"/>
  </sheetPr>
  <dimension ref="B1:T55"/>
  <sheetViews>
    <sheetView zoomScaleNormal="100" zoomScaleSheetLayoutView="80" workbookViewId="0"/>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6"/>
      <c r="C1" s="1116"/>
      <c r="D1" s="1116"/>
      <c r="E1" s="1116"/>
      <c r="F1" s="1116"/>
      <c r="G1" s="1116"/>
      <c r="H1" s="1116"/>
      <c r="I1" s="1116"/>
      <c r="J1" s="1116"/>
    </row>
    <row r="2" spans="2:20" ht="22.8">
      <c r="B2" s="1760" t="str">
        <f>"SCHEDULE  OF "&amp;UPPER('KEY INPUTS'!D56)&amp;" UTILITY  BUDGET  -  "&amp;TEXT('KEY INPUTS'!D34,"0")&amp;""</f>
        <v>SCHEDULE  OF  UTILITY  BUDGET  -  2019</v>
      </c>
      <c r="C2" s="1760"/>
      <c r="D2" s="1760"/>
      <c r="E2" s="1760"/>
      <c r="F2" s="1760"/>
      <c r="G2" s="1760"/>
      <c r="H2" s="1760"/>
      <c r="I2" s="1760"/>
      <c r="J2" s="1760"/>
    </row>
    <row r="3" spans="2:20" ht="12" customHeight="1">
      <c r="B3" s="1303"/>
      <c r="C3" s="1303"/>
      <c r="D3" s="1303"/>
      <c r="E3" s="1303"/>
      <c r="F3" s="1303"/>
      <c r="G3" s="1303"/>
      <c r="H3" s="1303"/>
      <c r="I3" s="1303"/>
      <c r="J3" s="1303"/>
    </row>
    <row r="4" spans="2:20" ht="17.25" customHeight="1" thickBot="1">
      <c r="B4" s="1920" t="s">
        <v>1056</v>
      </c>
      <c r="C4" s="1920"/>
      <c r="D4" s="1920"/>
      <c r="E4" s="1920"/>
      <c r="F4" s="1920"/>
      <c r="G4" s="1920"/>
      <c r="H4" s="1920"/>
      <c r="I4" s="1920"/>
      <c r="J4" s="1920"/>
    </row>
    <row r="5" spans="2:20" ht="13.8" thickTop="1">
      <c r="B5" s="1921" t="s">
        <v>211</v>
      </c>
      <c r="C5" s="1921"/>
      <c r="D5" s="1921"/>
      <c r="E5" s="1921"/>
      <c r="F5" s="1921"/>
      <c r="G5" s="1886"/>
      <c r="H5" s="1240" t="s">
        <v>677</v>
      </c>
      <c r="I5" s="1240" t="s">
        <v>804</v>
      </c>
      <c r="J5" s="1304" t="s">
        <v>424</v>
      </c>
    </row>
    <row r="6" spans="2:20" ht="13.8" thickBot="1">
      <c r="B6" s="1922"/>
      <c r="C6" s="1922"/>
      <c r="D6" s="1922"/>
      <c r="E6" s="1922"/>
      <c r="F6" s="1922"/>
      <c r="G6" s="1923"/>
      <c r="H6" s="1305"/>
      <c r="I6" s="1305" t="s">
        <v>423</v>
      </c>
      <c r="J6" s="1306" t="s">
        <v>425</v>
      </c>
    </row>
    <row r="7" spans="2:20" ht="21" customHeight="1" thickTop="1">
      <c r="B7" s="1172" t="s">
        <v>3435</v>
      </c>
      <c r="C7" s="1172"/>
      <c r="D7" s="1172"/>
      <c r="E7" s="1172"/>
      <c r="F7" s="1172"/>
      <c r="G7" s="1307" t="s">
        <v>3434</v>
      </c>
      <c r="H7" s="605"/>
      <c r="I7" s="1311">
        <f>H7</f>
        <v>0</v>
      </c>
      <c r="J7" s="1205">
        <f>+I7-H7</f>
        <v>0</v>
      </c>
    </row>
    <row r="8" spans="2:20" ht="10.5" customHeight="1">
      <c r="B8" s="1211" t="s">
        <v>3433</v>
      </c>
      <c r="C8" s="1116"/>
      <c r="D8" s="1116"/>
      <c r="E8" s="1116"/>
      <c r="F8" s="1116"/>
      <c r="G8" s="1308"/>
      <c r="H8" s="1310"/>
      <c r="I8" s="1310"/>
      <c r="J8" s="1120"/>
    </row>
    <row r="9" spans="2:20">
      <c r="B9" s="1130" t="s">
        <v>214</v>
      </c>
      <c r="C9" s="1130"/>
      <c r="D9" s="1130"/>
      <c r="E9" s="1130"/>
      <c r="F9" s="1130"/>
      <c r="G9" s="1309" t="s">
        <v>3432</v>
      </c>
      <c r="H9" s="653"/>
      <c r="I9" s="653"/>
      <c r="J9" s="860">
        <f t="shared" ref="J9:J15" si="0">+I9-H9</f>
        <v>0</v>
      </c>
    </row>
    <row r="10" spans="2:20" ht="21" customHeight="1">
      <c r="B10" s="647"/>
      <c r="C10" s="647"/>
      <c r="D10" s="647"/>
      <c r="E10" s="647"/>
      <c r="F10" s="647"/>
      <c r="G10" s="654"/>
      <c r="H10" s="782"/>
      <c r="I10" s="782"/>
      <c r="J10" s="1312">
        <f t="shared" si="0"/>
        <v>0</v>
      </c>
      <c r="N10" s="322"/>
      <c r="O10" s="322"/>
      <c r="P10" s="322"/>
      <c r="Q10" s="322"/>
      <c r="R10" s="322"/>
      <c r="S10" s="322"/>
      <c r="T10" s="322"/>
    </row>
    <row r="11" spans="2:20" ht="21" customHeight="1">
      <c r="B11" s="647"/>
      <c r="C11" s="647"/>
      <c r="D11" s="647"/>
      <c r="E11" s="647"/>
      <c r="F11" s="647"/>
      <c r="G11" s="654"/>
      <c r="H11" s="782"/>
      <c r="I11" s="782"/>
      <c r="J11" s="1126">
        <f t="shared" si="0"/>
        <v>0</v>
      </c>
      <c r="N11" s="322"/>
      <c r="O11" s="322"/>
      <c r="P11" s="322"/>
      <c r="Q11" s="322"/>
      <c r="R11" s="322"/>
      <c r="S11" s="322"/>
      <c r="T11" s="322"/>
    </row>
    <row r="12" spans="2:20" ht="21" customHeight="1">
      <c r="B12" s="647"/>
      <c r="C12" s="647"/>
      <c r="D12" s="647"/>
      <c r="E12" s="647"/>
      <c r="F12" s="647"/>
      <c r="G12" s="654"/>
      <c r="H12" s="782"/>
      <c r="I12" s="782"/>
      <c r="J12" s="1126">
        <f t="shared" si="0"/>
        <v>0</v>
      </c>
      <c r="N12" s="377"/>
      <c r="O12" s="322"/>
      <c r="P12" s="322"/>
      <c r="Q12" s="322"/>
      <c r="R12" s="322"/>
      <c r="S12" s="322"/>
      <c r="T12" s="322"/>
    </row>
    <row r="13" spans="2:20" ht="21" customHeight="1">
      <c r="B13" s="647"/>
      <c r="C13" s="647"/>
      <c r="D13" s="647"/>
      <c r="E13" s="647"/>
      <c r="F13" s="647"/>
      <c r="G13" s="654"/>
      <c r="H13" s="782"/>
      <c r="I13" s="782"/>
      <c r="J13" s="1126">
        <f t="shared" si="0"/>
        <v>0</v>
      </c>
      <c r="N13" s="322"/>
      <c r="O13" s="322"/>
      <c r="P13" s="322"/>
      <c r="Q13" s="322"/>
      <c r="R13" s="322"/>
      <c r="S13" s="322"/>
      <c r="T13" s="322"/>
    </row>
    <row r="14" spans="2:20" ht="21" customHeight="1">
      <c r="B14" s="647"/>
      <c r="C14" s="647"/>
      <c r="D14" s="647"/>
      <c r="E14" s="647"/>
      <c r="F14" s="647"/>
      <c r="G14" s="654"/>
      <c r="H14" s="782"/>
      <c r="I14" s="782"/>
      <c r="J14" s="1126">
        <f t="shared" si="0"/>
        <v>0</v>
      </c>
      <c r="N14" s="322"/>
      <c r="O14" s="322"/>
      <c r="P14" s="322"/>
      <c r="Q14" s="322"/>
      <c r="R14" s="322"/>
      <c r="S14" s="322"/>
      <c r="T14" s="322"/>
    </row>
    <row r="15" spans="2:20" ht="21" customHeight="1">
      <c r="B15" s="691" t="s">
        <v>3431</v>
      </c>
      <c r="C15" s="691"/>
      <c r="D15" s="691"/>
      <c r="E15" s="691"/>
      <c r="F15" s="691"/>
      <c r="G15" s="1309" t="s">
        <v>3427</v>
      </c>
      <c r="H15" s="782"/>
      <c r="I15" s="782"/>
      <c r="J15" s="1126">
        <f t="shared" si="0"/>
        <v>0</v>
      </c>
      <c r="N15" s="322"/>
      <c r="O15" s="322"/>
      <c r="P15" s="322"/>
      <c r="Q15" s="322"/>
      <c r="R15" s="322"/>
      <c r="S15" s="322"/>
      <c r="T15" s="322"/>
    </row>
    <row r="16" spans="2:20" ht="21" customHeight="1">
      <c r="B16" s="691" t="s">
        <v>3430</v>
      </c>
      <c r="C16" s="691"/>
      <c r="D16" s="691"/>
      <c r="E16" s="691"/>
      <c r="F16" s="691"/>
      <c r="G16" s="1309"/>
      <c r="H16" s="782"/>
      <c r="I16" s="782"/>
      <c r="J16" s="1126"/>
      <c r="N16" s="322"/>
      <c r="O16" s="322"/>
      <c r="P16" s="322"/>
      <c r="Q16" s="322"/>
      <c r="R16" s="322"/>
      <c r="S16" s="322"/>
      <c r="T16" s="322"/>
    </row>
    <row r="17" spans="2:20" ht="21" customHeight="1">
      <c r="B17" s="691" t="s">
        <v>422</v>
      </c>
      <c r="C17" s="691"/>
      <c r="D17" s="691"/>
      <c r="E17" s="691"/>
      <c r="F17" s="691"/>
      <c r="G17" s="1309"/>
      <c r="H17" s="1176" t="s">
        <v>788</v>
      </c>
      <c r="I17" s="1176" t="s">
        <v>788</v>
      </c>
      <c r="J17" s="1302"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2"/>
      <c r="N19" s="322"/>
      <c r="O19" s="322"/>
      <c r="P19" s="322"/>
      <c r="Q19" s="322"/>
      <c r="R19" s="322"/>
      <c r="S19" s="322"/>
      <c r="T19" s="322"/>
    </row>
    <row r="20" spans="2:20" ht="21" customHeight="1" thickTop="1">
      <c r="B20" s="691"/>
      <c r="C20" s="691"/>
      <c r="D20" s="691" t="s">
        <v>421</v>
      </c>
      <c r="E20" s="691"/>
      <c r="F20" s="691"/>
      <c r="G20" s="1314"/>
      <c r="H20" s="1317">
        <f>SUM(H7:H19)</f>
        <v>0</v>
      </c>
      <c r="I20" s="1317">
        <f>SUM(I7:I19)</f>
        <v>0</v>
      </c>
      <c r="J20" s="860">
        <f>SUM(J7:J19)</f>
        <v>0</v>
      </c>
      <c r="N20" s="322"/>
      <c r="O20" s="322"/>
      <c r="P20" s="322"/>
      <c r="Q20" s="322"/>
      <c r="R20" s="322"/>
      <c r="S20" s="322"/>
      <c r="T20" s="322"/>
    </row>
    <row r="21" spans="2:20" ht="21" customHeight="1" thickBot="1">
      <c r="B21" s="691" t="s">
        <v>3429</v>
      </c>
      <c r="C21" s="1315"/>
      <c r="D21" s="1315"/>
      <c r="E21" s="691"/>
      <c r="F21" s="691"/>
      <c r="G21" s="1309" t="s">
        <v>3428</v>
      </c>
      <c r="H21" s="655"/>
      <c r="I21" s="655"/>
      <c r="J21" s="1120">
        <f>I21-H21</f>
        <v>0</v>
      </c>
      <c r="N21" s="322"/>
      <c r="O21" s="322"/>
      <c r="P21" s="322"/>
      <c r="Q21" s="322"/>
      <c r="R21" s="322"/>
      <c r="S21" s="322"/>
      <c r="T21" s="322"/>
    </row>
    <row r="22" spans="2:20" ht="21" customHeight="1" thickTop="1" thickBot="1">
      <c r="B22" s="1116"/>
      <c r="C22" s="1116"/>
      <c r="D22" s="1116"/>
      <c r="E22" s="1116"/>
      <c r="F22" s="1116"/>
      <c r="G22" s="1316" t="s">
        <v>3427</v>
      </c>
      <c r="H22" s="1318">
        <f>+H20+H21</f>
        <v>0</v>
      </c>
      <c r="I22" s="1318">
        <f>+I20+I21</f>
        <v>0</v>
      </c>
      <c r="J22" s="1313">
        <f>+J20+J21</f>
        <v>0</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0" t="s">
        <v>426</v>
      </c>
      <c r="C27" s="1920"/>
      <c r="D27" s="1920"/>
      <c r="E27" s="1920"/>
      <c r="F27" s="1920"/>
      <c r="G27" s="1920"/>
      <c r="H27" s="1920"/>
      <c r="I27" s="1920"/>
      <c r="J27" s="1920"/>
    </row>
    <row r="28" spans="2:20" ht="21" customHeight="1" thickTop="1">
      <c r="B28" s="1319" t="s">
        <v>427</v>
      </c>
      <c r="C28" s="1320"/>
      <c r="D28" s="1320"/>
      <c r="E28" s="1320"/>
      <c r="F28" s="1320"/>
      <c r="G28" s="1320"/>
      <c r="H28" s="1320"/>
      <c r="I28" s="1321"/>
      <c r="J28" s="1322" t="s">
        <v>788</v>
      </c>
    </row>
    <row r="29" spans="2:20" ht="21" customHeight="1">
      <c r="B29" s="1323"/>
      <c r="C29" s="1324" t="s">
        <v>222</v>
      </c>
      <c r="D29" s="1324"/>
      <c r="E29" s="1324"/>
      <c r="F29" s="1324"/>
      <c r="G29" s="1324"/>
      <c r="H29" s="1324"/>
      <c r="I29" s="1325"/>
      <c r="J29" s="656"/>
    </row>
    <row r="30" spans="2:20" ht="21" customHeight="1">
      <c r="B30" s="1323"/>
      <c r="C30" s="1324" t="s">
        <v>428</v>
      </c>
      <c r="D30" s="1324"/>
      <c r="E30" s="1324"/>
      <c r="F30" s="1324"/>
      <c r="G30" s="1324"/>
      <c r="H30" s="1324"/>
      <c r="I30" s="1325"/>
      <c r="J30" s="656"/>
    </row>
    <row r="31" spans="2:20" ht="21" customHeight="1" thickBot="1">
      <c r="B31" s="1323"/>
      <c r="C31" s="1324" t="s">
        <v>429</v>
      </c>
      <c r="D31" s="1324"/>
      <c r="E31" s="1324"/>
      <c r="F31" s="1324"/>
      <c r="G31" s="1324"/>
      <c r="H31" s="1324"/>
      <c r="I31" s="1325"/>
      <c r="J31" s="658"/>
    </row>
    <row r="32" spans="2:20" ht="21" customHeight="1" thickTop="1">
      <c r="B32" s="1323" t="s">
        <v>430</v>
      </c>
      <c r="C32" s="1324"/>
      <c r="D32" s="1324"/>
      <c r="E32" s="1324"/>
      <c r="F32" s="1324"/>
      <c r="G32" s="1324"/>
      <c r="H32" s="1324"/>
      <c r="I32" s="1326"/>
      <c r="J32" s="1327">
        <f>SUM(J29:J31)</f>
        <v>0</v>
      </c>
    </row>
    <row r="33" spans="2:13" ht="21" customHeight="1" thickBot="1">
      <c r="B33" s="1323" t="s">
        <v>431</v>
      </c>
      <c r="C33" s="1324"/>
      <c r="D33" s="1324"/>
      <c r="E33" s="1324"/>
      <c r="F33" s="1324"/>
      <c r="G33" s="1324"/>
      <c r="H33" s="1324"/>
      <c r="I33" s="1326"/>
      <c r="J33" s="657"/>
    </row>
    <row r="34" spans="2:13" ht="21" customHeight="1" thickTop="1">
      <c r="B34" s="1323" t="s">
        <v>917</v>
      </c>
      <c r="C34" s="1324"/>
      <c r="D34" s="1324"/>
      <c r="E34" s="1324"/>
      <c r="F34" s="1324"/>
      <c r="G34" s="1324"/>
      <c r="H34" s="1324"/>
      <c r="I34" s="1326"/>
      <c r="J34" s="1327">
        <f>+J32+J33</f>
        <v>0</v>
      </c>
    </row>
    <row r="35" spans="2:13" ht="21" customHeight="1">
      <c r="B35" s="1323" t="s">
        <v>432</v>
      </c>
      <c r="C35" s="1324"/>
      <c r="D35" s="1324"/>
      <c r="E35" s="1324"/>
      <c r="F35" s="1324"/>
      <c r="G35" s="1324"/>
      <c r="H35" s="1324"/>
      <c r="I35" s="1326"/>
      <c r="J35" s="1328"/>
    </row>
    <row r="36" spans="2:13" ht="21" customHeight="1">
      <c r="B36" s="1330"/>
      <c r="C36" s="1330" t="s">
        <v>754</v>
      </c>
      <c r="D36" s="1330"/>
      <c r="E36" s="1330"/>
      <c r="F36" s="1330"/>
      <c r="G36" s="1330"/>
      <c r="H36" s="1330"/>
      <c r="I36" s="659"/>
      <c r="J36" s="1329"/>
    </row>
    <row r="37" spans="2:13" ht="21" customHeight="1">
      <c r="B37" s="1330"/>
      <c r="C37" s="1330" t="s">
        <v>921</v>
      </c>
      <c r="D37" s="1330"/>
      <c r="E37" s="1330"/>
      <c r="F37" s="1330"/>
      <c r="G37" s="1330"/>
      <c r="H37" s="1330"/>
      <c r="I37" s="659"/>
      <c r="J37" s="1329"/>
    </row>
    <row r="38" spans="2:13" ht="21" customHeight="1" thickBot="1">
      <c r="B38" s="1330" t="s">
        <v>433</v>
      </c>
      <c r="C38" s="1330"/>
      <c r="D38" s="1330"/>
      <c r="E38" s="1330"/>
      <c r="F38" s="1330"/>
      <c r="G38" s="1330"/>
      <c r="H38" s="1330"/>
      <c r="I38" s="660"/>
      <c r="J38" s="656"/>
      <c r="M38" s="399"/>
    </row>
    <row r="39" spans="2:13" ht="21" customHeight="1" thickTop="1" thickBot="1">
      <c r="B39" s="1330" t="s">
        <v>922</v>
      </c>
      <c r="C39" s="1330"/>
      <c r="D39" s="1330"/>
      <c r="E39" s="1330"/>
      <c r="F39" s="1330"/>
      <c r="G39" s="1330"/>
      <c r="H39" s="1330"/>
      <c r="I39" s="1331"/>
      <c r="J39" s="1333">
        <f>SUM(I36:I38)</f>
        <v>0</v>
      </c>
    </row>
    <row r="40" spans="2:13" ht="21" customHeight="1" thickTop="1" thickBot="1">
      <c r="B40" s="1330" t="s">
        <v>434</v>
      </c>
      <c r="C40" s="1330"/>
      <c r="D40" s="1330"/>
      <c r="E40" s="1330"/>
      <c r="F40" s="1330"/>
      <c r="G40" s="1330"/>
      <c r="H40" s="1330"/>
      <c r="I40" s="1332"/>
      <c r="J40" s="1334">
        <f>+J34-J39</f>
        <v>0</v>
      </c>
      <c r="K40" s="399"/>
    </row>
    <row r="41" spans="2:13" ht="13.8" thickTop="1">
      <c r="B41" s="1116"/>
      <c r="C41" s="1116"/>
      <c r="D41" s="1116"/>
      <c r="E41" s="1116"/>
      <c r="F41" s="1116"/>
      <c r="G41" s="1116"/>
      <c r="H41" s="1116"/>
      <c r="I41" s="1116"/>
      <c r="J41" s="1116"/>
    </row>
    <row r="42" spans="2:13">
      <c r="B42" s="1211" t="s">
        <v>3424</v>
      </c>
      <c r="C42" s="1211"/>
      <c r="D42" s="1211"/>
      <c r="E42" s="1211"/>
      <c r="F42" s="1211"/>
      <c r="G42" s="1116"/>
      <c r="H42" s="1116"/>
      <c r="I42" s="1116"/>
      <c r="J42" s="1116"/>
    </row>
    <row r="43" spans="2:13">
      <c r="B43" s="1211"/>
      <c r="C43" s="1211" t="s">
        <v>3423</v>
      </c>
      <c r="D43" s="1211"/>
      <c r="E43" s="1211"/>
      <c r="F43" s="1211"/>
      <c r="G43" s="1116"/>
      <c r="H43" s="1116"/>
      <c r="I43" s="1116"/>
      <c r="J43" s="1116"/>
    </row>
    <row r="44" spans="2:13">
      <c r="B44" s="1211"/>
      <c r="C44" s="1211"/>
      <c r="D44" s="1211" t="s">
        <v>3422</v>
      </c>
      <c r="E44" s="1211"/>
      <c r="F44" s="1211"/>
      <c r="G44" s="1116"/>
      <c r="H44" s="1116"/>
      <c r="I44" s="1116"/>
      <c r="J44" s="1116"/>
      <c r="M44" s="399"/>
    </row>
    <row r="45" spans="2:13">
      <c r="B45" s="1211"/>
      <c r="C45" s="1211" t="s">
        <v>43</v>
      </c>
      <c r="D45" s="1211"/>
      <c r="E45" s="1211"/>
      <c r="F45" s="1211"/>
      <c r="G45" s="1116"/>
      <c r="H45" s="1116"/>
      <c r="I45" s="1116"/>
      <c r="J45" s="1116"/>
    </row>
    <row r="46" spans="2:13">
      <c r="B46" s="1211"/>
      <c r="C46" s="1211" t="s">
        <v>3421</v>
      </c>
      <c r="D46" s="1211"/>
      <c r="E46" s="1211"/>
      <c r="F46" s="1211"/>
      <c r="G46" s="1116"/>
      <c r="H46" s="1116"/>
      <c r="I46" s="1116"/>
      <c r="J46" s="1116"/>
    </row>
    <row r="47" spans="2:13">
      <c r="B47" s="1211"/>
      <c r="C47" s="1211"/>
      <c r="D47" s="1211" t="s">
        <v>3420</v>
      </c>
      <c r="E47" s="1211"/>
      <c r="F47" s="1211"/>
      <c r="G47" s="1116"/>
      <c r="H47" s="1116"/>
      <c r="I47" s="1116"/>
      <c r="J47" s="1116"/>
    </row>
    <row r="48" spans="2:13">
      <c r="B48" s="427"/>
      <c r="C48" s="427"/>
      <c r="D48" s="427"/>
      <c r="E48" s="427"/>
      <c r="F48" s="427"/>
    </row>
    <row r="55" spans="2:10" ht="13.8">
      <c r="B55" s="1766" t="s">
        <v>3419</v>
      </c>
      <c r="C55" s="1766"/>
      <c r="D55" s="1766"/>
      <c r="E55" s="1766"/>
      <c r="F55" s="1766"/>
      <c r="G55" s="1766"/>
      <c r="H55" s="1766"/>
      <c r="I55" s="1766"/>
      <c r="J55" s="176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3">
    <tabColor theme="7" tint="0.39997558519241921"/>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1116"/>
      <c r="C1" s="1116"/>
      <c r="D1" s="1116"/>
      <c r="E1" s="1116"/>
      <c r="F1" s="1116"/>
      <c r="G1" s="1116"/>
      <c r="H1" s="1116"/>
      <c r="I1" s="1116"/>
      <c r="J1" s="1116"/>
      <c r="K1" s="1116"/>
    </row>
    <row r="2" spans="2:20">
      <c r="B2" s="1116"/>
      <c r="C2" s="1116"/>
      <c r="D2" s="1116"/>
      <c r="E2" s="1116"/>
      <c r="F2" s="1116"/>
      <c r="G2" s="1116"/>
      <c r="H2" s="1116"/>
      <c r="I2" s="1116"/>
      <c r="J2" s="1116"/>
      <c r="K2" s="1116"/>
    </row>
    <row r="3" spans="2:20" ht="22.8">
      <c r="B3" s="1760" t="str">
        <f>"STATEMENT  OF  "&amp;TEXT('KEY INPUTS'!D34,"0")&amp;"  OPERATION"</f>
        <v>STATEMENT  OF  2019  OPERATION</v>
      </c>
      <c r="C3" s="1760"/>
      <c r="D3" s="1760"/>
      <c r="E3" s="1760"/>
      <c r="F3" s="1760"/>
      <c r="G3" s="1760"/>
      <c r="H3" s="1760"/>
      <c r="I3" s="1760"/>
      <c r="J3" s="1760"/>
      <c r="K3" s="1760"/>
    </row>
    <row r="4" spans="2:20">
      <c r="B4" s="1116"/>
      <c r="C4" s="1116"/>
      <c r="D4" s="1116"/>
      <c r="E4" s="1116"/>
      <c r="F4" s="1116"/>
      <c r="G4" s="1116"/>
      <c r="H4" s="1116"/>
      <c r="I4" s="1116"/>
      <c r="J4" s="1116"/>
      <c r="K4" s="1116"/>
    </row>
    <row r="5" spans="2:20" ht="20.399999999999999">
      <c r="B5" s="1789" t="str">
        <f>UPPER('KEY INPUTS'!D56)&amp;" UTILITY"</f>
        <v xml:space="preserve"> UTILITY</v>
      </c>
      <c r="C5" s="1789"/>
      <c r="D5" s="1789"/>
      <c r="E5" s="1789"/>
      <c r="F5" s="1789"/>
      <c r="G5" s="1789"/>
      <c r="H5" s="1789"/>
      <c r="I5" s="1789"/>
      <c r="J5" s="1789"/>
      <c r="K5" s="1789"/>
    </row>
    <row r="6" spans="2:20">
      <c r="B6" s="1116"/>
      <c r="C6" s="1116"/>
      <c r="D6" s="1116"/>
      <c r="E6" s="1116"/>
      <c r="F6" s="1116"/>
      <c r="G6" s="1116"/>
      <c r="H6" s="1116"/>
      <c r="I6" s="1116"/>
      <c r="J6" s="1116"/>
      <c r="K6" s="1116"/>
    </row>
    <row r="7" spans="2:20">
      <c r="B7" s="1116"/>
      <c r="C7" s="1116"/>
      <c r="D7" s="1116"/>
      <c r="E7" s="1116"/>
      <c r="F7" s="1116"/>
      <c r="G7" s="1116"/>
      <c r="H7" s="1116"/>
      <c r="I7" s="1116"/>
      <c r="J7" s="1116"/>
      <c r="K7" s="1116"/>
    </row>
    <row r="8" spans="2:20">
      <c r="B8" s="1116" t="s">
        <v>408</v>
      </c>
      <c r="C8" s="1191" t="str">
        <f>"Section 1 of this sheet is required to be filled out ONLY IF the "&amp;TEXT('KEY INPUTS'!D34,"0")&amp;" "&amp;PROPER('KEY INPUTS'!D56)&amp;" Utility Budget contained"</f>
        <v>Section 1 of this sheet is required to be filled out ONLY IF the 2019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843"/>
      <c r="N15" s="322"/>
      <c r="O15" s="322"/>
      <c r="P15" s="322"/>
      <c r="Q15" s="322"/>
      <c r="R15" s="322"/>
      <c r="S15" s="322"/>
      <c r="T15" s="322"/>
    </row>
    <row r="16" spans="2:20" ht="21" customHeight="1">
      <c r="B16" s="691"/>
      <c r="C16" s="691" t="s">
        <v>439</v>
      </c>
      <c r="D16" s="691"/>
      <c r="E16" s="691"/>
      <c r="F16" s="691"/>
      <c r="G16" s="691"/>
      <c r="H16" s="691"/>
      <c r="I16" s="691"/>
      <c r="J16" s="844">
        <f>+'44-Utility5'!I20</f>
        <v>0</v>
      </c>
      <c r="K16" s="843"/>
      <c r="N16" s="322"/>
      <c r="O16" s="322"/>
      <c r="P16" s="322"/>
      <c r="Q16" s="322"/>
      <c r="R16" s="322"/>
      <c r="S16" s="322"/>
      <c r="T16" s="322"/>
    </row>
    <row r="17" spans="2:20" ht="21" customHeight="1">
      <c r="B17" s="691"/>
      <c r="C17" s="691" t="s">
        <v>440</v>
      </c>
      <c r="D17" s="691"/>
      <c r="E17" s="691"/>
      <c r="F17" s="691"/>
      <c r="G17" s="691"/>
      <c r="H17" s="691"/>
      <c r="I17" s="691"/>
      <c r="J17" s="575"/>
      <c r="K17" s="843"/>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0</v>
      </c>
      <c r="K18" s="843"/>
      <c r="N18" s="322"/>
      <c r="O18" s="322"/>
      <c r="P18" s="322"/>
      <c r="Q18" s="322"/>
      <c r="R18" s="322"/>
      <c r="S18" s="322"/>
      <c r="T18" s="322"/>
    </row>
    <row r="19" spans="2:20" ht="21" customHeight="1">
      <c r="B19" s="691"/>
      <c r="C19" s="648"/>
      <c r="D19" s="648"/>
      <c r="E19" s="648"/>
      <c r="F19" s="648"/>
      <c r="G19" s="648"/>
      <c r="H19" s="648"/>
      <c r="I19" s="648"/>
      <c r="J19" s="374"/>
      <c r="K19" s="843"/>
      <c r="N19" s="322"/>
      <c r="O19" s="322"/>
      <c r="P19" s="322"/>
      <c r="Q19" s="322"/>
      <c r="R19" s="322"/>
      <c r="S19" s="322"/>
      <c r="T19" s="322"/>
    </row>
    <row r="20" spans="2:20" ht="21" customHeight="1">
      <c r="B20" s="691"/>
      <c r="C20" s="648"/>
      <c r="D20" s="648"/>
      <c r="E20" s="648"/>
      <c r="F20" s="648"/>
      <c r="G20" s="648"/>
      <c r="H20" s="648"/>
      <c r="I20" s="648"/>
      <c r="J20" s="374"/>
      <c r="K20" s="843"/>
      <c r="N20" s="322"/>
      <c r="O20" s="322"/>
      <c r="P20" s="322"/>
      <c r="Q20" s="322"/>
      <c r="R20" s="322"/>
      <c r="S20" s="322"/>
      <c r="T20" s="322"/>
    </row>
    <row r="21" spans="2:20" ht="21" customHeight="1">
      <c r="B21" s="691"/>
      <c r="C21" s="691" t="s">
        <v>441</v>
      </c>
      <c r="D21" s="691"/>
      <c r="E21" s="691"/>
      <c r="F21" s="691"/>
      <c r="G21" s="691"/>
      <c r="H21" s="691"/>
      <c r="I21" s="691"/>
      <c r="J21" s="575"/>
      <c r="K21" s="853">
        <f>SUM(J16:J20)</f>
        <v>0</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+'44-Utility5'!I36</f>
        <v>0</v>
      </c>
      <c r="K24" s="843"/>
      <c r="N24" s="322"/>
      <c r="O24" s="322"/>
      <c r="P24" s="322"/>
      <c r="Q24" s="322"/>
      <c r="R24" s="322"/>
      <c r="S24" s="322"/>
      <c r="T24" s="322"/>
    </row>
    <row r="25" spans="2:20" ht="21" customHeight="1">
      <c r="B25" s="691"/>
      <c r="C25" s="691"/>
      <c r="D25" s="691" t="s">
        <v>921</v>
      </c>
      <c r="E25" s="691"/>
      <c r="F25" s="691"/>
      <c r="G25" s="691"/>
      <c r="H25" s="691"/>
      <c r="I25" s="691"/>
      <c r="J25" s="844">
        <f>+'44-Utility5'!I37</f>
        <v>0</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c r="K27" s="843"/>
      <c r="N27" s="322"/>
      <c r="O27" s="322"/>
      <c r="P27" s="322"/>
      <c r="Q27" s="322"/>
      <c r="R27" s="322"/>
      <c r="S27" s="322"/>
      <c r="T27" s="322"/>
    </row>
    <row r="28" spans="2:20" ht="21" customHeight="1" thickBot="1">
      <c r="B28" s="691"/>
      <c r="C28" s="648"/>
      <c r="D28" s="648"/>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0</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0</v>
      </c>
    </row>
    <row r="33" spans="2:15" ht="21" customHeight="1" thickTop="1" thickBot="1">
      <c r="B33" s="1184" t="s">
        <v>954</v>
      </c>
      <c r="C33" s="1184"/>
      <c r="D33" s="1184"/>
      <c r="E33" s="1184"/>
      <c r="F33" s="1184"/>
      <c r="G33" s="1184"/>
      <c r="H33" s="1184"/>
      <c r="I33" s="1184"/>
      <c r="J33" s="1185"/>
      <c r="K33" s="1186">
        <f>IF(M33&gt;0,M33,0)</f>
        <v>0</v>
      </c>
      <c r="M33" s="399">
        <f>+K21-K32</f>
        <v>0</v>
      </c>
      <c r="N33" s="711" t="s">
        <v>3668</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1179"/>
      <c r="K35" s="843"/>
    </row>
    <row r="36" spans="2:15" ht="12.75" customHeight="1" thickBot="1">
      <c r="B36" s="1802"/>
      <c r="C36" s="1802"/>
      <c r="D36" s="1802"/>
      <c r="E36" s="1130" t="s">
        <v>3784</v>
      </c>
      <c r="F36" s="1130"/>
      <c r="G36" s="1130"/>
      <c r="H36" s="1130"/>
      <c r="I36" s="1130"/>
      <c r="J36" s="1181">
        <f>+K33-J34</f>
        <v>0</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+'44-Utility5'!I21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J42" s="464"/>
      <c r="K42" s="464"/>
    </row>
    <row r="43" spans="2:15" ht="17.399999999999999">
      <c r="B43" s="1170" t="s">
        <v>959</v>
      </c>
      <c r="C43" s="1116"/>
      <c r="D43" s="1116"/>
      <c r="E43" s="1116"/>
      <c r="F43" s="1116"/>
      <c r="G43" s="1116"/>
      <c r="H43" s="1116"/>
      <c r="I43" s="1116"/>
      <c r="J43" s="843"/>
      <c r="K43" s="843"/>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INPUTS'!D56)&amp;" Utility for "&amp;TEXT('KEY INPUTS'!D34,"0")&amp;""</f>
        <v xml:space="preserve"> Utility for 2019</v>
      </c>
      <c r="C46" s="1116"/>
      <c r="D46" s="1116"/>
      <c r="E46" s="1116"/>
      <c r="F46" s="1116"/>
      <c r="G46" s="1116"/>
      <c r="H46" s="1116"/>
      <c r="I46" s="1116"/>
      <c r="J46" s="843"/>
      <c r="K46" s="843"/>
      <c r="O46" s="322"/>
    </row>
    <row r="47" spans="2:15">
      <c r="B47" s="1116"/>
      <c r="C47" s="1116"/>
      <c r="D47" s="1116"/>
      <c r="E47" s="1116"/>
      <c r="F47" s="1116"/>
      <c r="G47" s="1116"/>
      <c r="H47" s="1116"/>
      <c r="I47" s="1116"/>
      <c r="J47" s="843"/>
      <c r="K47" s="843"/>
      <c r="O47" s="322"/>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c r="K48" s="843"/>
      <c r="O48" s="322"/>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s="322"/>
    </row>
    <row r="50" spans="2:15" ht="21" customHeight="1">
      <c r="B50" s="691" t="s">
        <v>960</v>
      </c>
      <c r="C50" s="691"/>
      <c r="D50" s="691"/>
      <c r="E50" s="691"/>
      <c r="F50" s="691"/>
      <c r="G50" s="691"/>
      <c r="H50" s="691"/>
      <c r="I50" s="691"/>
      <c r="J50" s="664"/>
      <c r="K50" s="853">
        <f>+J48-J49</f>
        <v>0</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4">
    <tabColor theme="7" tint="0.39997558519241921"/>
  </sheetPr>
  <dimension ref="B1:Z52"/>
  <sheetViews>
    <sheetView zoomScaleNormal="100" zoomScaleSheetLayoutView="80" workbookViewId="0"/>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1" spans="2:26">
      <c r="B1" s="1116"/>
      <c r="C1" s="1116"/>
      <c r="D1" s="1116"/>
      <c r="E1" s="1116"/>
      <c r="F1" s="1116"/>
      <c r="G1" s="1116"/>
      <c r="H1" s="1116"/>
      <c r="I1" s="1116"/>
      <c r="J1" s="1116"/>
      <c r="K1" s="1116"/>
      <c r="L1" s="1116"/>
    </row>
    <row r="2" spans="2:26" ht="20.399999999999999">
      <c r="B2" s="1789" t="str">
        <f>"RESULTS  OF  "&amp;TEXT('KEY INPUTS'!D34,"0")&amp;"  OPERATIONS  - "&amp;UPPER('KEY INPUTS'!D56)&amp;" UTILITY"</f>
        <v>RESULTS  OF  2019  OPERATIONS  -  UTILITY</v>
      </c>
      <c r="C2" s="1789"/>
      <c r="D2" s="1789"/>
      <c r="E2" s="1789"/>
      <c r="F2" s="1789"/>
      <c r="G2" s="1789"/>
      <c r="H2" s="1789"/>
      <c r="I2" s="1789"/>
      <c r="J2" s="1789"/>
      <c r="K2" s="1789"/>
      <c r="L2" s="1789"/>
    </row>
    <row r="3" spans="2:26" ht="13.8" thickBot="1">
      <c r="B3" s="1116"/>
      <c r="C3" s="1116"/>
      <c r="D3" s="1116"/>
      <c r="E3" s="1116"/>
      <c r="F3" s="1116"/>
      <c r="G3" s="1116"/>
      <c r="H3" s="1116"/>
      <c r="I3" s="1116"/>
      <c r="J3" s="1116"/>
      <c r="K3" s="1116"/>
      <c r="L3" s="1116"/>
    </row>
    <row r="4" spans="2:26" ht="21" customHeight="1" thickTop="1" thickBot="1">
      <c r="B4" s="1335"/>
      <c r="C4" s="1335"/>
      <c r="D4" s="1335"/>
      <c r="E4" s="1335"/>
      <c r="F4" s="1335"/>
      <c r="G4" s="1335"/>
      <c r="H4" s="1335"/>
      <c r="I4" s="1335"/>
      <c r="J4" s="1335"/>
      <c r="K4" s="1117" t="s">
        <v>125</v>
      </c>
      <c r="L4" s="1118" t="s">
        <v>126</v>
      </c>
    </row>
    <row r="5" spans="2:26" ht="21" customHeight="1" thickTop="1">
      <c r="B5" s="1212" t="s">
        <v>270</v>
      </c>
      <c r="C5" s="1172"/>
      <c r="D5" s="1172"/>
      <c r="E5" s="1172"/>
      <c r="F5" s="1172"/>
      <c r="G5" s="1172"/>
      <c r="H5" s="1172"/>
      <c r="I5" s="1172"/>
      <c r="J5" s="1172"/>
      <c r="K5" s="1204" t="s">
        <v>788</v>
      </c>
      <c r="L5" s="1205">
        <f>IF(+'44-Utility5'!J20&gt;0,+'44-Utility5'!J22,0)</f>
        <v>0</v>
      </c>
      <c r="N5" s="322"/>
      <c r="O5" s="322"/>
      <c r="P5" s="322"/>
      <c r="Q5" s="322"/>
      <c r="R5" s="322"/>
      <c r="S5" s="322"/>
      <c r="T5" s="322"/>
    </row>
    <row r="6" spans="2:26" ht="21" customHeight="1">
      <c r="B6" s="697" t="s">
        <v>271</v>
      </c>
      <c r="C6" s="691"/>
      <c r="D6" s="691"/>
      <c r="E6" s="691"/>
      <c r="F6" s="691"/>
      <c r="G6" s="691"/>
      <c r="H6" s="691"/>
      <c r="I6" s="691"/>
      <c r="J6" s="691"/>
      <c r="K6" s="1206" t="s">
        <v>788</v>
      </c>
      <c r="L6" s="1126">
        <f>+'44-Utility5'!J40</f>
        <v>0</v>
      </c>
      <c r="M6" s="740"/>
      <c r="N6" s="322"/>
      <c r="O6" s="322"/>
      <c r="P6" s="322"/>
      <c r="Q6" s="322"/>
      <c r="R6" s="322"/>
      <c r="S6" s="322"/>
      <c r="T6" s="322"/>
    </row>
    <row r="7" spans="2:26" ht="21" customHeight="1">
      <c r="B7" s="697" t="s">
        <v>272</v>
      </c>
      <c r="C7" s="691"/>
      <c r="D7" s="691"/>
      <c r="E7" s="691"/>
      <c r="F7" s="691"/>
      <c r="G7" s="691"/>
      <c r="H7" s="691"/>
      <c r="I7" s="691"/>
      <c r="J7" s="691"/>
      <c r="K7" s="1206" t="s">
        <v>788</v>
      </c>
      <c r="L7" s="1126">
        <f>'45-Utility5'!J17</f>
        <v>0</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691"/>
      <c r="J8" s="691"/>
      <c r="K8" s="1206" t="s">
        <v>788</v>
      </c>
      <c r="L8" s="1126">
        <f>+'45-Utility5'!K50</f>
        <v>0</v>
      </c>
      <c r="N8" s="322"/>
      <c r="O8" s="322"/>
      <c r="P8" s="322"/>
      <c r="Q8" s="322"/>
      <c r="R8" s="322"/>
      <c r="S8" s="322"/>
      <c r="T8" s="322"/>
    </row>
    <row r="9" spans="2:26" ht="21" customHeight="1">
      <c r="B9" s="706"/>
      <c r="C9" s="648"/>
      <c r="D9" s="648"/>
      <c r="E9" s="648"/>
      <c r="F9" s="648"/>
      <c r="G9" s="648"/>
      <c r="H9" s="648"/>
      <c r="I9" s="691"/>
      <c r="J9" s="691"/>
      <c r="K9" s="659"/>
      <c r="L9" s="609"/>
      <c r="N9" s="322"/>
      <c r="O9" s="322"/>
      <c r="P9" s="322"/>
      <c r="Q9" s="322"/>
      <c r="R9" s="322"/>
      <c r="S9" s="322"/>
      <c r="T9" s="322"/>
    </row>
    <row r="10" spans="2:26" ht="21" customHeight="1">
      <c r="B10" s="1116" t="s">
        <v>3443</v>
      </c>
      <c r="C10" s="1116"/>
      <c r="D10" s="1116"/>
      <c r="E10" s="1116"/>
      <c r="F10" s="1116"/>
      <c r="G10" s="1116"/>
      <c r="H10" s="1116"/>
      <c r="I10" s="1116"/>
      <c r="J10" s="1116"/>
      <c r="K10" s="1200"/>
      <c r="L10" s="1208" t="s">
        <v>788</v>
      </c>
      <c r="M10" s="399">
        <f>+L9+L8+L7+L6+L5-K11-K10-K9</f>
        <v>0</v>
      </c>
      <c r="N10" s="711" t="s">
        <v>3668</v>
      </c>
      <c r="O10" s="322"/>
      <c r="P10" s="322"/>
      <c r="Q10" s="322"/>
      <c r="R10" s="322"/>
      <c r="S10" s="322"/>
      <c r="T10" s="322"/>
      <c r="V10" s="477">
        <f>-'44-Utility5'!U22</f>
        <v>0</v>
      </c>
    </row>
    <row r="11" spans="2:26" ht="21" customHeight="1">
      <c r="B11" s="703"/>
      <c r="C11" s="1201"/>
      <c r="D11" s="648"/>
      <c r="E11" s="648"/>
      <c r="F11" s="648"/>
      <c r="G11" s="648"/>
      <c r="H11" s="648"/>
      <c r="I11" s="691"/>
      <c r="J11" s="691"/>
      <c r="K11" s="601"/>
      <c r="L11" s="1208" t="s">
        <v>788</v>
      </c>
      <c r="N11" s="322"/>
      <c r="O11" s="322"/>
      <c r="P11" s="322"/>
      <c r="Q11" s="322"/>
      <c r="R11" s="322"/>
      <c r="S11" s="322"/>
      <c r="T11" s="322"/>
      <c r="U11" s="322"/>
      <c r="V11" s="322"/>
      <c r="W11" s="322"/>
      <c r="X11" s="322"/>
      <c r="Y11" s="322"/>
      <c r="Z11" s="322"/>
    </row>
    <row r="12" spans="2:26" ht="21" customHeight="1">
      <c r="B12" s="697" t="s">
        <v>273</v>
      </c>
      <c r="C12" s="1174"/>
      <c r="D12" s="691"/>
      <c r="E12" s="691"/>
      <c r="F12" s="691"/>
      <c r="G12" s="691"/>
      <c r="H12" s="691"/>
      <c r="I12" s="691"/>
      <c r="J12" s="691"/>
      <c r="K12" s="1206" t="s">
        <v>788</v>
      </c>
      <c r="L12" s="1207">
        <f>IF(M10&gt;0,0,M10*-1)</f>
        <v>0</v>
      </c>
      <c r="N12" s="322"/>
      <c r="O12" s="322"/>
      <c r="P12" s="322"/>
      <c r="Q12" s="322"/>
      <c r="R12" s="322"/>
      <c r="S12" s="322"/>
      <c r="T12" s="322"/>
      <c r="U12" s="322"/>
      <c r="V12" s="322"/>
      <c r="W12" s="322"/>
      <c r="X12" s="322"/>
      <c r="Y12" s="322"/>
      <c r="Z12" s="322"/>
    </row>
    <row r="13" spans="2:26" ht="21" customHeight="1" thickBot="1">
      <c r="B13" s="697" t="s">
        <v>274</v>
      </c>
      <c r="C13" s="1174"/>
      <c r="D13" s="691"/>
      <c r="E13" s="691"/>
      <c r="F13" s="691"/>
      <c r="G13" s="691"/>
      <c r="H13" s="691"/>
      <c r="I13" s="691"/>
      <c r="J13" s="691"/>
      <c r="K13" s="690">
        <f>IF(M10&gt;0,M10,0)</f>
        <v>0</v>
      </c>
      <c r="L13" s="1209" t="s">
        <v>788</v>
      </c>
      <c r="M13" s="399"/>
      <c r="N13" s="322"/>
      <c r="O13" s="322"/>
      <c r="P13" s="322"/>
      <c r="Q13" s="322"/>
      <c r="R13" s="322"/>
      <c r="S13" s="322"/>
      <c r="T13" s="322"/>
      <c r="U13" s="322"/>
      <c r="V13" s="476">
        <f>U11</f>
        <v>0</v>
      </c>
      <c r="W13" s="322"/>
      <c r="X13" s="322"/>
      <c r="Y13" s="322"/>
      <c r="Z13" s="322"/>
    </row>
    <row r="14" spans="2:26" ht="21" customHeight="1" thickBot="1">
      <c r="B14" s="1211" t="s">
        <v>3442</v>
      </c>
      <c r="C14" s="1116"/>
      <c r="D14" s="1116"/>
      <c r="E14" s="1116"/>
      <c r="F14" s="1116"/>
      <c r="G14" s="1116"/>
      <c r="H14" s="1116"/>
      <c r="I14" s="1116"/>
      <c r="J14" s="1116"/>
      <c r="K14" s="1133">
        <f>SUM(K5:K13)</f>
        <v>0</v>
      </c>
      <c r="L14" s="1134">
        <f>SUM(L5:L13)</f>
        <v>0</v>
      </c>
      <c r="M14" s="399">
        <f>L14-K14</f>
        <v>0</v>
      </c>
      <c r="N14" s="711" t="s">
        <v>3668</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INPUTS'!D56)&amp;" UTILITY"</f>
        <v>OPERATING  SURPLUS  -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B18" s="1116"/>
      <c r="C18" s="1116"/>
      <c r="D18" s="1116"/>
      <c r="E18" s="1116"/>
      <c r="F18" s="1116"/>
      <c r="G18" s="1116"/>
      <c r="H18" s="1116"/>
      <c r="I18" s="1116"/>
      <c r="J18" s="1116"/>
      <c r="K18" s="1116"/>
      <c r="L18" s="1116"/>
      <c r="N18" s="322"/>
      <c r="O18" s="322"/>
      <c r="P18" s="322"/>
      <c r="Q18" s="322"/>
      <c r="R18" s="322"/>
      <c r="S18" s="322"/>
      <c r="T18" s="322"/>
    </row>
    <row r="19" spans="2:20" ht="25.5" customHeight="1" thickTop="1" thickBot="1">
      <c r="B19" s="1335"/>
      <c r="C19" s="1335"/>
      <c r="D19" s="1335"/>
      <c r="E19" s="1335"/>
      <c r="F19" s="1335"/>
      <c r="G19" s="1335"/>
      <c r="H19" s="1335"/>
      <c r="I19" s="1335"/>
      <c r="J19" s="133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337" t="s">
        <v>788</v>
      </c>
      <c r="L20" s="926"/>
      <c r="N20" s="322"/>
      <c r="O20" s="322"/>
      <c r="P20" s="322"/>
      <c r="Q20" s="322"/>
      <c r="R20" s="322"/>
      <c r="S20" s="322"/>
      <c r="T20" s="322"/>
    </row>
    <row r="21" spans="2:20" ht="21" customHeight="1">
      <c r="B21" s="1202"/>
      <c r="C21" s="648"/>
      <c r="D21" s="648"/>
      <c r="E21" s="648"/>
      <c r="F21" s="648"/>
      <c r="G21" s="648"/>
      <c r="H21" s="648"/>
      <c r="I21" s="648"/>
      <c r="J21" s="648"/>
      <c r="K21" s="1200"/>
      <c r="L21" s="924"/>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338" t="s">
        <v>788</v>
      </c>
      <c r="L22" s="1339">
        <f>+K13</f>
        <v>0</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1340">
        <f>'44-Utility5'!I7</f>
        <v>0</v>
      </c>
      <c r="L23" s="1341"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926"/>
      <c r="L24" s="1924" t="s">
        <v>788</v>
      </c>
    </row>
    <row r="25" spans="2:20" ht="12.75" customHeight="1">
      <c r="B25" s="1130" t="s">
        <v>1066</v>
      </c>
      <c r="C25" s="1130"/>
      <c r="D25" s="1130"/>
      <c r="E25" s="1130"/>
      <c r="F25" s="1130"/>
      <c r="G25" s="1130"/>
      <c r="H25" s="1130"/>
      <c r="I25" s="1130"/>
      <c r="J25" s="1130"/>
      <c r="K25" s="1927"/>
      <c r="L25" s="1925"/>
    </row>
    <row r="26" spans="2:20" ht="21" customHeight="1">
      <c r="B26" s="1202"/>
      <c r="C26" s="648"/>
      <c r="D26" s="648"/>
      <c r="E26" s="648"/>
      <c r="F26" s="648"/>
      <c r="G26" s="648"/>
      <c r="H26" s="648"/>
      <c r="I26" s="648"/>
      <c r="J26" s="648"/>
      <c r="K26" s="925"/>
      <c r="L26" s="1203"/>
    </row>
    <row r="27" spans="2:20" ht="21" customHeight="1" thickBot="1">
      <c r="B27" s="691" t="str">
        <f>'KEY INPUTS'!D26</f>
        <v>Balance - December 31, 2019</v>
      </c>
      <c r="C27" s="691"/>
      <c r="D27" s="691"/>
      <c r="E27" s="691"/>
      <c r="F27" s="691"/>
      <c r="G27" s="691"/>
      <c r="H27" s="691"/>
      <c r="I27" s="691"/>
      <c r="J27" s="691"/>
      <c r="K27" s="1342">
        <f>+SUM(L20:L26)-SUM(K21:K26)</f>
        <v>0</v>
      </c>
      <c r="L27" s="1343" t="s">
        <v>788</v>
      </c>
      <c r="N27" s="778" t="s">
        <v>3530</v>
      </c>
    </row>
    <row r="28" spans="2:20" ht="21" customHeight="1" thickBot="1">
      <c r="B28" s="1116"/>
      <c r="C28" s="1116"/>
      <c r="D28" s="1116"/>
      <c r="E28" s="1116"/>
      <c r="F28" s="1116"/>
      <c r="G28" s="1116"/>
      <c r="H28" s="1116"/>
      <c r="I28" s="1116"/>
      <c r="J28" s="1116"/>
      <c r="K28" s="1344">
        <f>SUM(K21:K27)</f>
        <v>0</v>
      </c>
      <c r="L28" s="1345">
        <f>SUM(L20:L27)</f>
        <v>0</v>
      </c>
    </row>
    <row r="29" spans="2:20" ht="13.8" thickTop="1"/>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6" t="str">
        <f>"(FROM "&amp;UPPER('KEY INPUTS'!D56)&amp;" UTILITY  -  TRIAL  BALANCE)"</f>
        <v>(FROM  UTILITY  -  TRIAL  BALANCE)</v>
      </c>
      <c r="C33" s="1806"/>
      <c r="D33" s="1806"/>
      <c r="E33" s="1806"/>
      <c r="F33" s="1806"/>
      <c r="G33" s="1806"/>
      <c r="H33" s="1806"/>
      <c r="I33" s="1806"/>
      <c r="J33" s="1806"/>
      <c r="K33" s="1806"/>
      <c r="L33" s="1806"/>
    </row>
    <row r="34" spans="2:14" ht="13.8" thickBot="1">
      <c r="B34" s="1116"/>
      <c r="C34" s="1116"/>
      <c r="D34" s="1116"/>
      <c r="E34" s="1116"/>
      <c r="F34" s="1116"/>
      <c r="G34" s="1116"/>
      <c r="H34" s="1116"/>
      <c r="I34" s="1116"/>
      <c r="J34" s="1116"/>
      <c r="K34" s="1116"/>
      <c r="L34" s="1116"/>
    </row>
    <row r="35" spans="2:14" ht="21" customHeight="1" thickTop="1">
      <c r="B35" s="1172" t="s">
        <v>253</v>
      </c>
      <c r="C35" s="1172"/>
      <c r="D35" s="1172"/>
      <c r="E35" s="1172"/>
      <c r="F35" s="1172"/>
      <c r="G35" s="1172"/>
      <c r="H35" s="1172"/>
      <c r="I35" s="1172"/>
      <c r="J35" s="1172"/>
      <c r="K35" s="1216"/>
      <c r="L35" s="1215">
        <f>+'41-Utility5'!G13</f>
        <v>0</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0</v>
      </c>
    </row>
    <row r="39" spans="2:14" ht="21" customHeight="1" thickBot="1">
      <c r="B39" s="691" t="s">
        <v>470</v>
      </c>
      <c r="C39" s="691"/>
      <c r="D39" s="691"/>
      <c r="E39" s="691"/>
      <c r="F39" s="691"/>
      <c r="G39" s="691"/>
      <c r="H39" s="691"/>
      <c r="I39" s="691"/>
      <c r="J39" s="691"/>
      <c r="K39" s="1217"/>
      <c r="L39" s="1219">
        <f>+'41-Utility5'!H39</f>
        <v>0</v>
      </c>
    </row>
    <row r="40" spans="2:14" ht="21" customHeight="1" thickTop="1">
      <c r="B40" s="691"/>
      <c r="C40" s="691"/>
      <c r="D40" s="691" t="s">
        <v>268</v>
      </c>
      <c r="E40" s="691"/>
      <c r="F40" s="691"/>
      <c r="G40" s="691"/>
      <c r="H40" s="691"/>
      <c r="I40" s="691"/>
      <c r="J40" s="691"/>
      <c r="K40" s="1217"/>
      <c r="L40" s="1218">
        <f>+L38-L39</f>
        <v>0</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0</v>
      </c>
    </row>
    <row r="45" spans="2:14" ht="21" customHeight="1" thickBot="1">
      <c r="B45" s="1222" t="str">
        <f>"# MAY NOT BE ANTICIPATED AS NON-CASH SURPLUS IN "&amp;TEXT('KEY INPUTS'!D34,"0")&amp;" BUDGET."</f>
        <v># MAY NOT BE ANTICIPATED AS NON-CASH SURPLUS IN 2019 BUDGET.</v>
      </c>
      <c r="C45" s="1116"/>
      <c r="D45" s="1116"/>
      <c r="E45" s="1116"/>
      <c r="F45" s="1116"/>
      <c r="G45" s="1116"/>
      <c r="H45" s="1116"/>
      <c r="I45" s="1116"/>
      <c r="J45" s="1116"/>
      <c r="K45" s="1223"/>
      <c r="L45" s="1220">
        <f>+L40+L44</f>
        <v>0</v>
      </c>
      <c r="M45" s="399"/>
      <c r="N45" s="778" t="s">
        <v>3530</v>
      </c>
    </row>
    <row r="46" spans="2:14" ht="13.8" thickTop="1">
      <c r="B46" s="470" t="s">
        <v>275</v>
      </c>
      <c r="C46" s="470"/>
    </row>
    <row r="47" spans="2:14">
      <c r="B47" s="470"/>
      <c r="C47" s="470" t="s">
        <v>3441</v>
      </c>
    </row>
    <row r="52" spans="2:12" ht="13.8">
      <c r="B52" s="1766" t="s">
        <v>3440</v>
      </c>
      <c r="C52" s="1766"/>
      <c r="D52" s="1766"/>
      <c r="E52" s="1766"/>
      <c r="F52" s="1766"/>
      <c r="G52" s="1766"/>
      <c r="H52" s="1766"/>
      <c r="I52" s="1766"/>
      <c r="J52" s="1766"/>
      <c r="K52" s="1766"/>
      <c r="L52" s="176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5">
    <tabColor theme="7" tint="0.39997558519241921"/>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INPUTS'!D56&amp;"  UTILITY  ACCOUNTS  RECEIVABLE")</f>
        <v>SCHEDULE  OF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4" t="s">
        <v>3785</v>
      </c>
      <c r="E11" s="1194"/>
      <c r="F11" s="1194"/>
      <c r="G11" s="1116"/>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94"/>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INPUTS'!D56)&amp;" UTILITY  LIENS"</f>
        <v>SCHEDULE  OF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nFqEi/5iw4FwAFkdGwmQdQxDeEtNDPcEEYHgUJsbHOg39O+N1GKp0mcQk1MW4IinEYjZPLoC69X3n0+EPmw0Hg==" saltValue="C7m7QHQDqF2FYRSJdRHZL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6">
    <tabColor theme="7" tint="0.39997558519241921"/>
  </sheetPr>
  <dimension ref="B1:W69"/>
  <sheetViews>
    <sheetView topLeftCell="A10"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8"/>
      <c r="C1" s="1148"/>
      <c r="D1" s="1148"/>
      <c r="E1" s="1148"/>
      <c r="F1" s="1148"/>
      <c r="G1" s="1148"/>
      <c r="H1" s="1148"/>
      <c r="I1" s="1148"/>
      <c r="J1" s="1148"/>
      <c r="K1" s="1148"/>
      <c r="L1" s="1148"/>
      <c r="M1" s="1148"/>
      <c r="N1" s="1148"/>
    </row>
    <row r="2" spans="2:23">
      <c r="B2" s="1148"/>
      <c r="C2" s="1148"/>
      <c r="D2" s="1148"/>
      <c r="E2" s="1148"/>
      <c r="F2" s="1148"/>
      <c r="G2" s="1148"/>
      <c r="H2" s="1148"/>
      <c r="I2" s="1148"/>
      <c r="J2" s="1148"/>
      <c r="K2" s="1148"/>
      <c r="L2" s="1148"/>
      <c r="M2" s="1148"/>
      <c r="N2" s="1148"/>
    </row>
    <row r="3" spans="2:23" ht="20.399999999999999">
      <c r="B3" s="1871" t="s">
        <v>1130</v>
      </c>
      <c r="C3" s="1871"/>
      <c r="D3" s="1871"/>
      <c r="E3" s="1871"/>
      <c r="F3" s="1871"/>
      <c r="G3" s="1871"/>
      <c r="H3" s="1871"/>
      <c r="I3" s="1871"/>
      <c r="J3" s="1871"/>
      <c r="K3" s="1871"/>
      <c r="L3" s="1871"/>
      <c r="M3" s="1871"/>
      <c r="N3" s="1871"/>
    </row>
    <row r="4" spans="2:23" ht="15.6">
      <c r="B4" s="1929" t="s">
        <v>540</v>
      </c>
      <c r="C4" s="1929"/>
      <c r="D4" s="1929"/>
      <c r="E4" s="1929"/>
      <c r="F4" s="1929"/>
      <c r="G4" s="1929"/>
      <c r="H4" s="1929"/>
      <c r="I4" s="1929"/>
      <c r="J4" s="1929"/>
      <c r="K4" s="1929"/>
      <c r="L4" s="1929"/>
      <c r="M4" s="1929"/>
      <c r="N4" s="1929"/>
    </row>
    <row r="5" spans="2:23" ht="20.399999999999999">
      <c r="B5" s="1789" t="str">
        <f>UPPER('KEY INPUTS'!D56)&amp;" UTILITY  FUND"</f>
        <v xml:space="preserve"> UTILITY  FUND</v>
      </c>
      <c r="C5" s="1789"/>
      <c r="D5" s="1789"/>
      <c r="E5" s="1789"/>
      <c r="F5" s="1789"/>
      <c r="G5" s="1789"/>
      <c r="H5" s="1789"/>
      <c r="I5" s="1789"/>
      <c r="J5" s="1789"/>
      <c r="K5" s="1789"/>
      <c r="L5" s="1789"/>
      <c r="M5" s="1789"/>
      <c r="N5" s="1789"/>
    </row>
    <row r="6" spans="2:23">
      <c r="B6" s="1930" t="s">
        <v>283</v>
      </c>
      <c r="C6" s="1930"/>
      <c r="D6" s="1930"/>
      <c r="E6" s="1930"/>
      <c r="F6" s="1930"/>
      <c r="G6" s="1930"/>
      <c r="H6" s="1930"/>
      <c r="I6" s="1930"/>
      <c r="J6" s="1930"/>
      <c r="K6" s="1930"/>
      <c r="L6" s="1930"/>
      <c r="M6" s="1930"/>
      <c r="N6" s="1930"/>
    </row>
    <row r="7" spans="2:23">
      <c r="B7" s="1148"/>
      <c r="C7" s="1148"/>
      <c r="D7" s="1148"/>
      <c r="E7" s="1148"/>
      <c r="F7" s="1148"/>
      <c r="G7" s="1148"/>
      <c r="H7" s="1148"/>
      <c r="I7" s="1148"/>
      <c r="J7" s="1148"/>
      <c r="K7" s="1148"/>
      <c r="L7" s="1148"/>
      <c r="M7" s="1148"/>
      <c r="N7" s="1148"/>
    </row>
    <row r="8" spans="2:23">
      <c r="B8" s="1148"/>
      <c r="C8" s="1148"/>
      <c r="D8" s="1148"/>
      <c r="E8" s="1148"/>
      <c r="F8" s="1148"/>
      <c r="G8" s="1148"/>
      <c r="H8" s="1143" t="s">
        <v>533</v>
      </c>
      <c r="I8" s="1148"/>
      <c r="J8" s="1148"/>
      <c r="K8" s="1148"/>
      <c r="L8" s="1148"/>
      <c r="M8" s="1148"/>
      <c r="N8" s="1148"/>
    </row>
    <row r="9" spans="2:23">
      <c r="B9" s="1148"/>
      <c r="C9" s="1931" t="s">
        <v>553</v>
      </c>
      <c r="D9" s="1931"/>
      <c r="E9" s="1931"/>
      <c r="F9" s="1148"/>
      <c r="G9" s="1148"/>
      <c r="H9" s="1346" t="str">
        <f>'KEY INPUTS'!D45</f>
        <v>Dec. 31, 2018</v>
      </c>
      <c r="I9" s="1148"/>
      <c r="J9" s="1143" t="s">
        <v>554</v>
      </c>
      <c r="K9" s="1148"/>
      <c r="L9" s="1143" t="s">
        <v>533</v>
      </c>
      <c r="M9" s="1148"/>
      <c r="N9" s="1143" t="s">
        <v>672</v>
      </c>
    </row>
    <row r="10" spans="2:23">
      <c r="B10" s="1148"/>
      <c r="C10" s="1148"/>
      <c r="D10" s="1148"/>
      <c r="E10" s="1148"/>
      <c r="F10" s="1148"/>
      <c r="G10" s="1148"/>
      <c r="H10" s="1143" t="s">
        <v>552</v>
      </c>
      <c r="I10" s="1148"/>
      <c r="J10" s="1143">
        <f>'KEY INPUTS'!D34</f>
        <v>2019</v>
      </c>
      <c r="K10" s="1148"/>
      <c r="L10" s="1143" t="s">
        <v>555</v>
      </c>
      <c r="M10" s="1148"/>
      <c r="N10" s="1143" t="s">
        <v>556</v>
      </c>
    </row>
    <row r="11" spans="2:23">
      <c r="B11" s="1148"/>
      <c r="C11" s="1148"/>
      <c r="D11" s="1148"/>
      <c r="E11" s="1148"/>
      <c r="F11" s="1148"/>
      <c r="G11" s="1148"/>
      <c r="H11" s="1347" t="s">
        <v>551</v>
      </c>
      <c r="I11" s="1148"/>
      <c r="J11" s="1347" t="s">
        <v>677</v>
      </c>
      <c r="K11" s="1148"/>
      <c r="L11" s="1347">
        <f>'KEY INPUTS'!D34</f>
        <v>2019</v>
      </c>
      <c r="M11" s="1148"/>
      <c r="N11" s="1348" t="str">
        <f>'KEY INPUTS'!D46</f>
        <v>Dec. 31, 2019</v>
      </c>
      <c r="Q11" s="322"/>
      <c r="R11" s="322"/>
      <c r="S11" s="322"/>
      <c r="T11" s="322"/>
      <c r="U11" s="322"/>
      <c r="V11" s="322"/>
      <c r="W11" s="322"/>
    </row>
    <row r="12" spans="2:23">
      <c r="B12" s="1349" t="s">
        <v>384</v>
      </c>
      <c r="C12" s="1148" t="s">
        <v>1131</v>
      </c>
      <c r="D12" s="1148"/>
      <c r="E12" s="1148"/>
      <c r="F12" s="1148"/>
      <c r="G12" s="1148"/>
      <c r="H12" s="1148"/>
      <c r="I12" s="1148"/>
      <c r="J12" s="1148"/>
      <c r="K12" s="1148"/>
      <c r="L12" s="1148"/>
      <c r="M12" s="1148"/>
      <c r="N12" s="1148"/>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3408</v>
      </c>
      <c r="D15" s="669"/>
      <c r="E15" s="669"/>
      <c r="F15" s="669"/>
      <c r="G15" s="331" t="s">
        <v>482</v>
      </c>
      <c r="H15" s="580"/>
      <c r="I15" s="331" t="s">
        <v>482</v>
      </c>
      <c r="J15" s="580"/>
      <c r="K15" s="331" t="s">
        <v>482</v>
      </c>
      <c r="L15" s="580"/>
      <c r="M15" s="331" t="s">
        <v>482</v>
      </c>
      <c r="N15" s="1226">
        <f>+H15-J15+L15</f>
        <v>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350" t="s">
        <v>3492</v>
      </c>
      <c r="D20" s="1228"/>
      <c r="E20" s="1228"/>
      <c r="F20" s="1228"/>
      <c r="G20" s="741" t="s">
        <v>482</v>
      </c>
      <c r="H20" s="1227">
        <f>H13+H15+H16+H17+H18+H19</f>
        <v>0</v>
      </c>
      <c r="I20" s="741" t="s">
        <v>482</v>
      </c>
      <c r="J20" s="1227">
        <f>J13+J15+J16+J17+J18+J19</f>
        <v>0</v>
      </c>
      <c r="K20" s="741" t="s">
        <v>482</v>
      </c>
      <c r="L20" s="1227">
        <f>L13+L15+L16+L17+L18+L19</f>
        <v>0</v>
      </c>
      <c r="M20" s="331" t="s">
        <v>482</v>
      </c>
      <c r="N20" s="1227">
        <f>N13+N15+N16+N17+N18+N19</f>
        <v>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741" t="s">
        <v>482</v>
      </c>
      <c r="H23" s="1227">
        <f>H21+H22</f>
        <v>0</v>
      </c>
      <c r="I23" s="741" t="s">
        <v>482</v>
      </c>
      <c r="J23" s="1227">
        <f>J21+J22</f>
        <v>0</v>
      </c>
      <c r="K23" s="741" t="s">
        <v>482</v>
      </c>
      <c r="L23" s="1227">
        <f>L21+L22</f>
        <v>0</v>
      </c>
      <c r="M23" s="331" t="s">
        <v>482</v>
      </c>
      <c r="N23" s="1226">
        <f t="shared" si="0"/>
        <v>0</v>
      </c>
      <c r="Q23" s="322"/>
      <c r="R23" s="322"/>
      <c r="S23" s="322"/>
      <c r="T23" s="322"/>
      <c r="U23" s="322"/>
      <c r="V23" s="322"/>
      <c r="W23" s="322"/>
    </row>
    <row r="24" spans="2:23">
      <c r="B24" s="481"/>
      <c r="Q24" s="322"/>
      <c r="R24" s="322"/>
      <c r="S24" s="322"/>
      <c r="T24" s="322"/>
      <c r="U24" s="322"/>
      <c r="V24" s="322"/>
      <c r="W24" s="322"/>
    </row>
    <row r="25" spans="2:23">
      <c r="B25" s="481"/>
      <c r="C25" s="331" t="s">
        <v>1134</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6">
      <c r="B28" s="1928" t="s">
        <v>530</v>
      </c>
      <c r="C28" s="1928"/>
      <c r="D28" s="1928"/>
      <c r="E28" s="1928"/>
      <c r="F28" s="1928"/>
      <c r="G28" s="1928"/>
      <c r="H28" s="1928"/>
      <c r="I28" s="1928"/>
      <c r="J28" s="1928"/>
      <c r="K28" s="1928"/>
      <c r="L28" s="1928"/>
      <c r="M28" s="1928"/>
      <c r="N28" s="1928"/>
    </row>
    <row r="29" spans="2:23" ht="15.6">
      <c r="B29" s="1928" t="s">
        <v>531</v>
      </c>
      <c r="C29" s="1928"/>
      <c r="D29" s="1928"/>
      <c r="E29" s="1928"/>
      <c r="F29" s="1928"/>
      <c r="G29" s="1928"/>
      <c r="H29" s="1928"/>
      <c r="I29" s="1928"/>
      <c r="J29" s="1928"/>
      <c r="K29" s="1928"/>
      <c r="L29" s="1928"/>
      <c r="M29" s="1928"/>
      <c r="N29" s="1928"/>
    </row>
    <row r="30" spans="2:23" ht="6.75" customHeight="1">
      <c r="B30" s="1351"/>
      <c r="C30" s="1351"/>
      <c r="D30" s="1351"/>
      <c r="E30" s="1351"/>
      <c r="F30" s="1351"/>
      <c r="G30" s="1351"/>
      <c r="H30" s="1351"/>
      <c r="I30" s="1351"/>
      <c r="J30" s="1351"/>
      <c r="K30" s="1351"/>
      <c r="L30" s="1351"/>
      <c r="M30" s="1351"/>
      <c r="N30" s="1351"/>
    </row>
    <row r="31" spans="2:23" ht="18" customHeight="1">
      <c r="B31" s="1349"/>
      <c r="C31" s="1148"/>
      <c r="D31" s="1932" t="s">
        <v>18</v>
      </c>
      <c r="E31" s="1932"/>
      <c r="F31" s="1352"/>
      <c r="G31" s="1932" t="s">
        <v>532</v>
      </c>
      <c r="H31" s="1932"/>
      <c r="I31" s="1932"/>
      <c r="J31" s="1932"/>
      <c r="K31" s="1932"/>
      <c r="L31" s="1932"/>
      <c r="M31" s="1352"/>
      <c r="N31" s="135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481"/>
    </row>
    <row r="38" spans="2:14">
      <c r="B38" s="481"/>
    </row>
    <row r="39" spans="2:14">
      <c r="B39" s="481"/>
    </row>
    <row r="40" spans="2:14" ht="15.6">
      <c r="B40" s="1928" t="s">
        <v>322</v>
      </c>
      <c r="C40" s="1928"/>
      <c r="D40" s="1928"/>
      <c r="E40" s="1928"/>
      <c r="F40" s="1928"/>
      <c r="G40" s="1928"/>
      <c r="H40" s="1928"/>
      <c r="I40" s="1928"/>
      <c r="J40" s="1928"/>
      <c r="K40" s="1928"/>
      <c r="L40" s="1928"/>
      <c r="M40" s="1928"/>
      <c r="N40" s="1928"/>
    </row>
    <row r="41" spans="2:14">
      <c r="B41" s="1349"/>
      <c r="C41" s="1148"/>
      <c r="D41" s="1148"/>
      <c r="E41" s="1148"/>
      <c r="F41" s="1148"/>
      <c r="G41" s="1148"/>
      <c r="H41" s="1148"/>
      <c r="I41" s="1148"/>
      <c r="J41" s="1148"/>
      <c r="K41" s="1148"/>
      <c r="L41" s="1148"/>
      <c r="M41" s="1148"/>
      <c r="N41" s="1148"/>
    </row>
    <row r="42" spans="2:14">
      <c r="B42" s="1349"/>
      <c r="C42" s="1148"/>
      <c r="D42" s="1148"/>
      <c r="E42" s="1148"/>
      <c r="F42" s="1148"/>
      <c r="G42" s="1148"/>
      <c r="H42" s="1148"/>
      <c r="I42" s="1148"/>
      <c r="J42" s="1148"/>
      <c r="K42" s="1148"/>
      <c r="L42" s="1148"/>
      <c r="M42" s="1148"/>
      <c r="N42" s="1143" t="s">
        <v>538</v>
      </c>
    </row>
    <row r="43" spans="2:14">
      <c r="B43" s="1349"/>
      <c r="C43" s="1148"/>
      <c r="D43" s="1148"/>
      <c r="E43" s="1148"/>
      <c r="F43" s="1148"/>
      <c r="G43" s="1148"/>
      <c r="H43" s="1148"/>
      <c r="I43" s="1148"/>
      <c r="J43" s="1148"/>
      <c r="K43" s="1148"/>
      <c r="L43" s="1148"/>
      <c r="M43" s="1148"/>
      <c r="N43" s="1143" t="s">
        <v>539</v>
      </c>
    </row>
    <row r="44" spans="2:14">
      <c r="B44" s="1349"/>
      <c r="C44" s="1148"/>
      <c r="D44" s="1931" t="s">
        <v>535</v>
      </c>
      <c r="E44" s="1931"/>
      <c r="F44" s="1148"/>
      <c r="G44" s="1148"/>
      <c r="H44" s="1931" t="s">
        <v>536</v>
      </c>
      <c r="I44" s="1931"/>
      <c r="J44" s="1347" t="s">
        <v>537</v>
      </c>
      <c r="K44" s="1148"/>
      <c r="L44" s="1347" t="s">
        <v>533</v>
      </c>
      <c r="M44" s="1148"/>
      <c r="N44" s="1347" t="str">
        <f>"Year "&amp;TEXT('KEY INPUTS'!D34,"0")&amp;""</f>
        <v>Year 2019</v>
      </c>
    </row>
    <row r="45" spans="2:14">
      <c r="B45" s="481"/>
      <c r="D45" s="668"/>
      <c r="E45" s="668"/>
      <c r="F45" s="668"/>
      <c r="G45" s="668"/>
      <c r="H45" s="668"/>
      <c r="I45" s="668"/>
      <c r="J45" s="66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F+c2nVrv4uX3cH6bMSaRJP9+Mag0Q123NzKoNu1+HizC13/En2YmkjuvhjEGUmd7guKVEYDuV49daolLBM8GA==" saltValue="o89GAKQbfePyx9b2O1V+vg=="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7">
    <tabColor theme="7" tint="0.39997558519241921"/>
  </sheetPr>
  <dimension ref="B2: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INPUTS'!D56)&amp;" UTILITY  ASSESSMENT  BONDS"</f>
        <v xml:space="preserve"> UTILITY  ASSESSMENT  BONDS</v>
      </c>
      <c r="C4" s="1762"/>
      <c r="D4" s="1762"/>
      <c r="E4" s="1762"/>
      <c r="F4" s="1762"/>
      <c r="G4" s="1762"/>
      <c r="H4" s="1762"/>
      <c r="I4" s="1762"/>
      <c r="J4" s="1762"/>
      <c r="K4" s="1762"/>
      <c r="L4" s="1762"/>
    </row>
    <row r="5" spans="2:21" ht="9.75" customHeight="1" thickBot="1">
      <c r="B5" s="1381"/>
      <c r="C5" s="1381"/>
      <c r="D5" s="1381"/>
      <c r="E5" s="1381"/>
      <c r="F5" s="1381"/>
      <c r="G5" s="1381"/>
      <c r="H5" s="1381"/>
      <c r="I5" s="1381"/>
      <c r="J5" s="1381"/>
      <c r="K5" s="1381"/>
      <c r="L5" s="1381"/>
    </row>
    <row r="6" spans="2:21" ht="27.75" customHeight="1" thickTop="1" thickBot="1">
      <c r="B6" s="1335"/>
      <c r="C6" s="1335"/>
      <c r="D6" s="1335"/>
      <c r="E6" s="1335"/>
      <c r="F6" s="1335"/>
      <c r="G6" s="1117" t="s">
        <v>125</v>
      </c>
      <c r="H6" s="1933" t="s">
        <v>126</v>
      </c>
      <c r="I6" s="1764"/>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72"/>
      <c r="D7" s="1172"/>
      <c r="E7" s="1172"/>
      <c r="F7" s="1172"/>
      <c r="G7" s="1173" t="s">
        <v>788</v>
      </c>
      <c r="H7" s="1706"/>
      <c r="I7" s="1707"/>
      <c r="K7" s="1116"/>
      <c r="L7" s="1116"/>
      <c r="O7" s="322"/>
      <c r="P7" s="322"/>
      <c r="Q7" s="322"/>
      <c r="R7" s="322"/>
      <c r="S7" s="322"/>
      <c r="T7" s="322"/>
      <c r="U7" s="322"/>
    </row>
    <row r="8" spans="2:21" ht="21" customHeight="1">
      <c r="B8" s="691" t="s">
        <v>113</v>
      </c>
      <c r="C8" s="691"/>
      <c r="D8" s="691"/>
      <c r="E8" s="691"/>
      <c r="F8" s="691"/>
      <c r="G8" s="1176" t="s">
        <v>788</v>
      </c>
      <c r="H8" s="1680"/>
      <c r="I8" s="1681"/>
      <c r="K8" s="1116"/>
      <c r="L8" s="1116"/>
      <c r="O8" s="377"/>
      <c r="P8" s="322"/>
      <c r="Q8" s="322"/>
      <c r="R8" s="322"/>
      <c r="S8" s="322"/>
      <c r="T8" s="322"/>
      <c r="U8" s="322"/>
    </row>
    <row r="9" spans="2:21" ht="21" customHeight="1">
      <c r="B9" s="691"/>
      <c r="C9" s="691"/>
      <c r="D9" s="691"/>
      <c r="E9" s="691"/>
      <c r="F9" s="691"/>
      <c r="G9" s="1176"/>
      <c r="H9" s="1382"/>
      <c r="I9" s="1231"/>
      <c r="K9" s="1116"/>
      <c r="L9" s="1116"/>
      <c r="O9" s="322"/>
      <c r="P9" s="322"/>
      <c r="Q9" s="322"/>
      <c r="R9" s="322"/>
      <c r="S9" s="322"/>
      <c r="T9" s="322"/>
      <c r="U9" s="322"/>
    </row>
    <row r="10" spans="2:21" ht="21" customHeight="1">
      <c r="B10" s="691" t="s">
        <v>326</v>
      </c>
      <c r="C10" s="691"/>
      <c r="D10" s="691"/>
      <c r="E10" s="691"/>
      <c r="F10" s="691"/>
      <c r="G10" s="601"/>
      <c r="H10" s="1831" t="s">
        <v>788</v>
      </c>
      <c r="I10" s="1832"/>
      <c r="K10" s="1116"/>
      <c r="L10" s="1116"/>
      <c r="O10" s="322"/>
      <c r="P10" s="322"/>
      <c r="Q10" s="322"/>
      <c r="R10" s="322"/>
      <c r="S10" s="322"/>
      <c r="T10" s="322"/>
      <c r="U10" s="322"/>
    </row>
    <row r="11" spans="2:21" ht="21" customHeight="1" thickBot="1">
      <c r="B11" s="691" t="str">
        <f>'KEY INPUTS'!D28</f>
        <v>Outstanding - December 31, 2019</v>
      </c>
      <c r="C11" s="691"/>
      <c r="D11" s="691"/>
      <c r="E11" s="691"/>
      <c r="F11" s="691"/>
      <c r="G11" s="1131">
        <f>+H7+H8-G10</f>
        <v>0</v>
      </c>
      <c r="H11" s="1833" t="s">
        <v>788</v>
      </c>
      <c r="I11" s="1834"/>
      <c r="K11" s="1116"/>
      <c r="L11" s="1116"/>
      <c r="O11" s="322"/>
      <c r="P11" s="322"/>
      <c r="Q11" s="322"/>
      <c r="R11" s="322"/>
      <c r="S11" s="322"/>
      <c r="T11" s="322"/>
      <c r="U11" s="322"/>
    </row>
    <row r="12" spans="2:21" ht="21" customHeight="1" thickBot="1">
      <c r="B12" s="1116"/>
      <c r="C12" s="1116"/>
      <c r="D12" s="1116"/>
      <c r="E12" s="1116"/>
      <c r="F12" s="1116"/>
      <c r="G12" s="1133">
        <f>SUM(G7:G11)</f>
        <v>0</v>
      </c>
      <c r="H12" s="1838">
        <f>SUM(H7:I11)</f>
        <v>0</v>
      </c>
      <c r="I12" s="1839"/>
      <c r="K12" s="1116"/>
      <c r="L12" s="1116"/>
      <c r="O12" s="322"/>
      <c r="P12" s="322"/>
      <c r="Q12" s="322"/>
      <c r="R12" s="322"/>
      <c r="S12" s="322"/>
      <c r="T12" s="322"/>
      <c r="U12" s="322"/>
    </row>
    <row r="13" spans="2:21" ht="21" customHeight="1" thickTop="1">
      <c r="B13" s="1384" t="str">
        <f>TEXT('KEY INPUTS'!D34+1,"0")&amp;" Bond Maturities - Assessment Bonds"</f>
        <v>2020 Bond Maturities - Assessment Bonds</v>
      </c>
      <c r="C13" s="1130"/>
      <c r="D13" s="1130"/>
      <c r="E13" s="1130"/>
      <c r="F13" s="1130"/>
      <c r="G13" s="1130"/>
      <c r="H13" s="1130"/>
      <c r="I13" s="1383"/>
      <c r="J13" s="451" t="s">
        <v>482</v>
      </c>
      <c r="K13" s="1715"/>
      <c r="L13" s="1715"/>
      <c r="O13" s="322"/>
      <c r="P13" s="322"/>
      <c r="Q13" s="322"/>
      <c r="R13" s="322"/>
      <c r="S13" s="322"/>
      <c r="T13" s="322"/>
      <c r="U13" s="322"/>
    </row>
    <row r="14" spans="2:21" ht="21" customHeight="1" thickBot="1">
      <c r="B14" s="1385" t="str">
        <f>TEXT('KEY INPUTS'!D34+1,"0")&amp;" Interest on Bonds"</f>
        <v>2020 Interest on Bonds</v>
      </c>
      <c r="C14" s="1234"/>
      <c r="D14" s="1234"/>
      <c r="E14" s="1234"/>
      <c r="F14" s="1234"/>
      <c r="G14" s="1259"/>
      <c r="H14" s="488" t="s">
        <v>482</v>
      </c>
      <c r="I14" s="608"/>
      <c r="K14" s="1116"/>
      <c r="L14" s="1116"/>
      <c r="O14" s="322"/>
      <c r="P14" s="322"/>
      <c r="Q14" s="322"/>
      <c r="R14" s="322"/>
      <c r="S14" s="322"/>
      <c r="T14" s="322"/>
      <c r="U14" s="322"/>
    </row>
    <row r="15" spans="2:21" ht="16.5" customHeight="1" thickTop="1">
      <c r="B15" s="1952"/>
      <c r="C15" s="1952"/>
      <c r="D15" s="1952"/>
      <c r="E15" s="1952"/>
      <c r="F15" s="1952"/>
      <c r="G15" s="1952"/>
      <c r="H15" s="1952"/>
      <c r="I15" s="1953"/>
      <c r="J15" s="1116"/>
      <c r="K15" s="1116"/>
      <c r="L15" s="1116"/>
      <c r="O15" s="322"/>
      <c r="P15" s="322"/>
      <c r="Q15" s="322"/>
      <c r="R15" s="322"/>
      <c r="S15" s="322"/>
      <c r="T15" s="322"/>
      <c r="U15" s="322"/>
    </row>
    <row r="16" spans="2:21" ht="26.25" customHeight="1" thickBot="1">
      <c r="B16" s="1936" t="str">
        <f>UPPER('KEY INPUTS'!D56) &amp;" UTILITY  CAPITAL  BONDS"</f>
        <v xml:space="preserve"> UTILITY  CAPITAL  BONDS</v>
      </c>
      <c r="C16" s="1936"/>
      <c r="D16" s="1936"/>
      <c r="E16" s="1936"/>
      <c r="F16" s="1936"/>
      <c r="G16" s="1936"/>
      <c r="H16" s="1936"/>
      <c r="I16" s="1937"/>
      <c r="J16" s="1116"/>
      <c r="K16" s="1116"/>
      <c r="L16" s="1116"/>
      <c r="O16" s="322"/>
      <c r="P16" s="322"/>
      <c r="Q16" s="322"/>
      <c r="R16" s="322"/>
      <c r="S16" s="322"/>
      <c r="T16" s="322"/>
      <c r="U16" s="322"/>
    </row>
    <row r="17" spans="2:21" ht="21" customHeight="1" thickTop="1">
      <c r="B17" s="1213" t="str">
        <f>'KEY INPUTS'!D27</f>
        <v>Outstanding - January 1, 2019</v>
      </c>
      <c r="C17" s="1172"/>
      <c r="D17" s="1172"/>
      <c r="E17" s="1172"/>
      <c r="F17" s="1172"/>
      <c r="G17" s="1173" t="s">
        <v>788</v>
      </c>
      <c r="H17" s="1706"/>
      <c r="I17" s="1707"/>
      <c r="K17" s="1116"/>
      <c r="L17" s="1116"/>
      <c r="O17" s="322"/>
      <c r="P17" s="322"/>
      <c r="Q17" s="322"/>
      <c r="R17" s="322"/>
      <c r="S17" s="322"/>
      <c r="T17" s="322"/>
      <c r="U17" s="322"/>
    </row>
    <row r="18" spans="2:21" ht="21" customHeight="1">
      <c r="B18" s="691" t="s">
        <v>113</v>
      </c>
      <c r="C18" s="691"/>
      <c r="D18" s="691"/>
      <c r="E18" s="691"/>
      <c r="F18" s="691"/>
      <c r="G18" s="1176" t="s">
        <v>788</v>
      </c>
      <c r="H18" s="1680"/>
      <c r="I18" s="1681"/>
      <c r="K18" s="1116"/>
      <c r="L18" s="1116"/>
      <c r="O18" s="322"/>
      <c r="P18" s="322"/>
      <c r="Q18" s="322"/>
      <c r="R18" s="322"/>
      <c r="S18" s="322"/>
      <c r="T18" s="322"/>
      <c r="U18" s="322"/>
    </row>
    <row r="19" spans="2:21" ht="21" customHeight="1">
      <c r="B19" s="691" t="s">
        <v>326</v>
      </c>
      <c r="C19" s="691"/>
      <c r="D19" s="691"/>
      <c r="E19" s="691"/>
      <c r="F19" s="691"/>
      <c r="G19" s="601"/>
      <c r="H19" s="1831" t="s">
        <v>788</v>
      </c>
      <c r="I19" s="1832"/>
      <c r="K19" s="1116"/>
      <c r="L19" s="1116"/>
      <c r="O19" s="322"/>
      <c r="P19" s="322"/>
      <c r="Q19" s="322"/>
      <c r="R19" s="322"/>
      <c r="S19" s="322"/>
      <c r="T19" s="322"/>
      <c r="U19" s="322"/>
    </row>
    <row r="20" spans="2:21" ht="21" customHeight="1">
      <c r="B20" s="691"/>
      <c r="C20" s="691"/>
      <c r="D20" s="691"/>
      <c r="E20" s="691"/>
      <c r="F20" s="691"/>
      <c r="G20" s="690"/>
      <c r="H20" s="1840"/>
      <c r="I20" s="1841"/>
      <c r="K20" s="1116"/>
      <c r="L20" s="1116"/>
      <c r="O20" s="322"/>
      <c r="P20" s="322"/>
      <c r="Q20" s="322"/>
      <c r="R20" s="322"/>
      <c r="S20" s="322"/>
      <c r="T20" s="322"/>
      <c r="U20" s="322"/>
    </row>
    <row r="21" spans="2:21" ht="21" customHeight="1">
      <c r="B21" s="691"/>
      <c r="C21" s="691"/>
      <c r="D21" s="691"/>
      <c r="E21" s="691"/>
      <c r="F21" s="691"/>
      <c r="G21" s="690"/>
      <c r="H21" s="1840"/>
      <c r="I21" s="1841"/>
      <c r="K21" s="1116"/>
      <c r="L21" s="1116"/>
      <c r="O21" s="322"/>
      <c r="P21" s="322"/>
      <c r="Q21" s="322"/>
      <c r="R21" s="322"/>
      <c r="S21" s="322"/>
      <c r="T21" s="322"/>
      <c r="U21" s="322"/>
    </row>
    <row r="22" spans="2:21" ht="21" customHeight="1" thickBot="1">
      <c r="B22" s="691" t="str">
        <f>'KEY INPUTS'!D28</f>
        <v>Outstanding - December 31, 2019</v>
      </c>
      <c r="C22" s="691"/>
      <c r="D22" s="691"/>
      <c r="E22" s="691"/>
      <c r="F22" s="691"/>
      <c r="G22" s="1131">
        <f>+H17+H18-G19-G20-G21+H20+H21</f>
        <v>0</v>
      </c>
      <c r="H22" s="1833" t="s">
        <v>788</v>
      </c>
      <c r="I22" s="1834"/>
      <c r="K22" s="1116"/>
      <c r="L22" s="1116"/>
      <c r="O22" s="322"/>
      <c r="P22" s="322"/>
      <c r="Q22" s="322"/>
      <c r="R22" s="322"/>
      <c r="S22" s="322"/>
      <c r="T22" s="322"/>
      <c r="U22" s="322"/>
    </row>
    <row r="23" spans="2:21" ht="21" customHeight="1" thickBot="1">
      <c r="B23" s="1116"/>
      <c r="C23" s="1116"/>
      <c r="D23" s="1116"/>
      <c r="E23" s="1116"/>
      <c r="F23" s="1116"/>
      <c r="G23" s="1133">
        <f>SUM(G17:G22)</f>
        <v>0</v>
      </c>
      <c r="H23" s="1838">
        <f>SUM(H17:I22)</f>
        <v>0</v>
      </c>
      <c r="I23" s="1839"/>
      <c r="K23" s="1116"/>
      <c r="L23" s="1116"/>
    </row>
    <row r="24" spans="2:21" ht="21" customHeight="1" thickTop="1">
      <c r="B24" s="1384" t="str">
        <f>TEXT('KEY INPUTS'!D34+1,"0")&amp;" Bond Maturities - Capital Bonds"</f>
        <v>2020 Bond Maturities - Capital Bonds</v>
      </c>
      <c r="C24" s="1130"/>
      <c r="D24" s="1130"/>
      <c r="E24" s="1130"/>
      <c r="F24" s="1130"/>
      <c r="G24" s="1130"/>
      <c r="H24" s="1130"/>
      <c r="I24" s="1386"/>
      <c r="J24" s="451" t="s">
        <v>482</v>
      </c>
      <c r="K24" s="1715"/>
      <c r="L24" s="1715"/>
    </row>
    <row r="25" spans="2:21" ht="21" customHeight="1" thickBot="1">
      <c r="B25" s="1385" t="str">
        <f>TEXT('KEY INPUTS'!D34+1,"0")&amp;" Interest on Bonds"</f>
        <v>2020 Interest on Bonds</v>
      </c>
      <c r="C25" s="1234"/>
      <c r="D25" s="1234"/>
      <c r="E25" s="1234"/>
      <c r="F25" s="1234"/>
      <c r="G25" s="1259"/>
      <c r="H25" s="488" t="s">
        <v>482</v>
      </c>
      <c r="I25" s="608"/>
      <c r="J25" s="489"/>
      <c r="K25" s="1234"/>
      <c r="L25" s="1385" t="s">
        <v>3408</v>
      </c>
    </row>
    <row r="26" spans="2:21" ht="21" customHeight="1" thickTop="1">
      <c r="B26" s="1116"/>
      <c r="C26" s="1116"/>
      <c r="D26" s="1116"/>
      <c r="E26" s="1116"/>
      <c r="F26" s="1116"/>
      <c r="G26" s="1116"/>
      <c r="H26" s="1116"/>
      <c r="I26" s="1116"/>
      <c r="J26" s="1116"/>
      <c r="K26" s="1116"/>
      <c r="L26" s="1116"/>
    </row>
    <row r="27" spans="2:21" ht="19.5" customHeight="1" thickBot="1">
      <c r="B27" s="1936" t="str">
        <f>"INTEREST  ON  BONDS  -  "&amp;UPPER('KEY INPUTS'!D56)&amp;"  UTILITY  BUDGET"</f>
        <v>INTEREST  ON  BONDS  -    UTILITY  BUDGET</v>
      </c>
      <c r="C27" s="1936"/>
      <c r="D27" s="1936"/>
      <c r="E27" s="1936"/>
      <c r="F27" s="1936"/>
      <c r="G27" s="1936"/>
      <c r="H27" s="1936"/>
      <c r="I27" s="1936"/>
      <c r="J27" s="1936"/>
      <c r="K27" s="1936"/>
      <c r="L27" s="1936"/>
    </row>
    <row r="28" spans="2:21" ht="21" customHeight="1" thickTop="1">
      <c r="B28" s="1396" t="str">
        <f>TEXT('KEY INPUTS'!D34+1,"0")&amp;" Interest on Bonds (*Items)"</f>
        <v>2020 Interest on Bonds (*Items)</v>
      </c>
      <c r="C28" s="1172"/>
      <c r="D28" s="1172"/>
      <c r="E28" s="1172"/>
      <c r="F28" s="1172"/>
      <c r="G28" s="1172"/>
      <c r="H28" s="457" t="s">
        <v>482</v>
      </c>
      <c r="I28" s="1232">
        <f>+I14+I25</f>
        <v>0</v>
      </c>
      <c r="K28" s="1116"/>
      <c r="L28" s="1116"/>
      <c r="O28" s="464"/>
      <c r="P28" s="464"/>
      <c r="Q28" s="464"/>
      <c r="R28" s="464"/>
    </row>
    <row r="29" spans="2:21" ht="21" customHeight="1">
      <c r="B29" s="916" t="str">
        <f>"Less: Interest Accrued to "&amp;TEXT('KEY INPUTS'!D29,"mm/dd/yyy")&amp;" (Trial Balance)"</f>
        <v>Less: Interest Accrued to 12/31/2019 (Trial Balance)</v>
      </c>
      <c r="C29" s="691"/>
      <c r="D29" s="691"/>
      <c r="E29" s="691"/>
      <c r="F29" s="691"/>
      <c r="G29" s="691"/>
      <c r="H29" s="402" t="s">
        <v>482</v>
      </c>
      <c r="I29" s="673"/>
      <c r="K29" s="1116"/>
      <c r="L29" s="1116"/>
      <c r="O29" s="464"/>
      <c r="P29" s="464"/>
      <c r="Q29" s="464"/>
      <c r="R29" s="464"/>
    </row>
    <row r="30" spans="2:21" ht="21" customHeight="1">
      <c r="B30" s="691"/>
      <c r="C30" s="691" t="s">
        <v>421</v>
      </c>
      <c r="D30" s="691"/>
      <c r="E30" s="691"/>
      <c r="F30" s="691"/>
      <c r="G30" s="691"/>
      <c r="H30" s="402" t="s">
        <v>482</v>
      </c>
      <c r="I30" s="1233">
        <f>+I28-I29</f>
        <v>0</v>
      </c>
      <c r="K30" s="1116"/>
      <c r="L30" s="1116"/>
      <c r="O30" s="464"/>
      <c r="P30" s="464"/>
      <c r="Q30" s="464"/>
      <c r="R30" s="464"/>
    </row>
    <row r="31" spans="2:21" ht="21" customHeight="1">
      <c r="B31" s="916" t="str">
        <f>"Add: Interest to be Accrued as of "&amp;TEXT('KEY INPUTS'!D30,"mm/dd/yyyy")&amp;""</f>
        <v>Add: Interest to be Accrued as of 12/31/2020</v>
      </c>
      <c r="C31" s="691"/>
      <c r="D31" s="691"/>
      <c r="E31" s="691"/>
      <c r="F31" s="691"/>
      <c r="G31" s="691"/>
      <c r="H31" s="402" t="s">
        <v>482</v>
      </c>
      <c r="I31" s="673"/>
      <c r="K31" s="1116"/>
      <c r="L31" s="1116"/>
      <c r="O31" s="464"/>
      <c r="P31" s="464"/>
      <c r="Q31" s="464"/>
      <c r="R31" s="464"/>
    </row>
    <row r="32" spans="2:21" ht="21" customHeight="1">
      <c r="B32" s="916" t="str">
        <f>"Required Appropriation "&amp;TEXT('KEY INPUTS'!D34+1,"0")</f>
        <v>Required Appropriation 2020</v>
      </c>
      <c r="C32" s="691"/>
      <c r="D32" s="691"/>
      <c r="E32" s="691"/>
      <c r="F32" s="691"/>
      <c r="G32" s="691"/>
      <c r="H32" s="402"/>
      <c r="I32" s="1416"/>
      <c r="J32" s="491" t="s">
        <v>482</v>
      </c>
      <c r="K32" s="1825">
        <f>+I30+I31</f>
        <v>0</v>
      </c>
      <c r="L32" s="1826"/>
      <c r="O32" s="464"/>
      <c r="P32" s="464"/>
      <c r="Q32" s="464"/>
      <c r="R32" s="464"/>
    </row>
    <row r="33" spans="2:12" ht="13.5" customHeight="1">
      <c r="B33" s="1194"/>
      <c r="C33" s="1194"/>
      <c r="D33" s="1194"/>
      <c r="E33" s="1194"/>
      <c r="F33" s="1194"/>
      <c r="G33" s="1194"/>
      <c r="H33" s="1194"/>
      <c r="I33" s="1194"/>
      <c r="J33" s="1194"/>
      <c r="K33" s="1429"/>
      <c r="L33" s="1300"/>
    </row>
    <row r="34" spans="2:12" ht="13.5" customHeight="1">
      <c r="B34" s="1194"/>
      <c r="C34" s="1194"/>
      <c r="D34" s="1194"/>
      <c r="E34" s="1194"/>
      <c r="F34" s="1194"/>
      <c r="G34" s="1194"/>
      <c r="H34" s="1194"/>
      <c r="I34" s="1194"/>
      <c r="J34" s="1194"/>
      <c r="K34" s="1429"/>
      <c r="L34" s="1300"/>
    </row>
    <row r="35" spans="2:12" ht="21" customHeight="1" thickBot="1">
      <c r="B35" s="1939" t="str">
        <f>"LIST  OF  BONDS  ISSUED  DURING  "&amp;TEXT('KEY INPUTS'!D34,"0")&amp;""</f>
        <v>LIST  OF  BONDS  ISSUED  DURING  2019</v>
      </c>
      <c r="C35" s="1939"/>
      <c r="D35" s="1939"/>
      <c r="E35" s="1939"/>
      <c r="F35" s="1939"/>
      <c r="G35" s="1939"/>
      <c r="H35" s="1939"/>
      <c r="I35" s="1939"/>
      <c r="J35" s="1939"/>
      <c r="K35" s="1939"/>
      <c r="L35" s="1939"/>
    </row>
    <row r="36" spans="2:12" ht="27" customHeight="1" thickTop="1" thickBot="1">
      <c r="B36" s="1763" t="s">
        <v>532</v>
      </c>
      <c r="C36" s="1763"/>
      <c r="D36" s="1763"/>
      <c r="E36" s="1763"/>
      <c r="F36" s="1763"/>
      <c r="G36" s="1399" t="str">
        <f>TEXT('KEY INPUTS'!D34,"0")&amp;" Maturity"</f>
        <v>2019 Maturity</v>
      </c>
      <c r="H36" s="1933" t="s">
        <v>109</v>
      </c>
      <c r="I36" s="1764"/>
      <c r="J36" s="1954" t="s">
        <v>107</v>
      </c>
      <c r="K36" s="1955"/>
      <c r="L36" s="1415"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234"/>
      <c r="C41" s="1234"/>
      <c r="D41" s="1234"/>
      <c r="E41" s="1234"/>
      <c r="F41" s="1387"/>
      <c r="G41" s="1133">
        <f>SUM(G37:G40)</f>
        <v>0</v>
      </c>
      <c r="H41" s="1821">
        <f>SUM(H37:I40)</f>
        <v>0</v>
      </c>
      <c r="I41" s="1822"/>
      <c r="J41" s="1388"/>
      <c r="K41" s="1234"/>
      <c r="L41" s="1235"/>
    </row>
    <row r="42" spans="2:12" ht="13.8" thickTop="1">
      <c r="G42" s="784"/>
      <c r="H42" s="784"/>
      <c r="I42" s="784"/>
    </row>
    <row r="50" spans="2:12" ht="13.8">
      <c r="B50" s="1951" t="s">
        <v>3446</v>
      </c>
      <c r="C50" s="1951"/>
      <c r="D50" s="1951"/>
      <c r="E50" s="1951"/>
      <c r="F50" s="1951"/>
      <c r="G50" s="1951"/>
      <c r="H50" s="1951"/>
      <c r="I50" s="1951"/>
      <c r="J50" s="1951"/>
      <c r="K50" s="1951"/>
      <c r="L50" s="1951"/>
    </row>
  </sheetData>
  <sheetProtection algorithmName="SHA-512" hashValue="HRLMHCsrDAhMu0B+npbtfj3/7AMCWdHogH5WOPPlZoXwmaJLVqkNgHXIcPbmzDpXLuDaCB+wniG66ueHhcGJfg==" saltValue="CtxKyfenBWmcrBWne2o+a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8">
    <tabColor theme="7"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INPUTS'!D$56)&amp;"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K7" s="1148"/>
      <c r="L7" s="1148"/>
      <c r="O7" s="322"/>
      <c r="P7" s="322"/>
      <c r="Q7" s="322"/>
      <c r="R7" s="322"/>
      <c r="S7" s="322"/>
      <c r="T7" s="322"/>
      <c r="U7" s="322"/>
    </row>
    <row r="8" spans="2:21" ht="21" customHeight="1">
      <c r="B8" s="691" t="s">
        <v>113</v>
      </c>
      <c r="C8" s="1141"/>
      <c r="D8" s="1141"/>
      <c r="E8" s="1141"/>
      <c r="F8" s="1141"/>
      <c r="G8" s="975" t="s">
        <v>788</v>
      </c>
      <c r="H8" s="1680"/>
      <c r="I8" s="1681"/>
      <c r="K8" s="1148"/>
      <c r="L8" s="1148"/>
      <c r="O8" s="377"/>
      <c r="P8" s="322"/>
      <c r="Q8" s="322"/>
      <c r="R8" s="322"/>
      <c r="S8" s="322"/>
      <c r="T8" s="322"/>
      <c r="U8" s="322"/>
    </row>
    <row r="9" spans="2:21" ht="21" customHeight="1">
      <c r="B9" s="691"/>
      <c r="C9" s="1141"/>
      <c r="D9" s="1141"/>
      <c r="E9" s="1141"/>
      <c r="F9" s="1141"/>
      <c r="G9" s="975"/>
      <c r="H9" s="1391"/>
      <c r="I9" s="1392"/>
      <c r="K9" s="1148"/>
      <c r="L9" s="1148"/>
      <c r="O9" s="322"/>
      <c r="P9" s="322"/>
      <c r="Q9" s="322"/>
      <c r="R9" s="322"/>
      <c r="S9" s="322"/>
      <c r="T9" s="322"/>
      <c r="U9" s="322"/>
    </row>
    <row r="10" spans="2:21" ht="21" customHeight="1">
      <c r="B10" s="691" t="s">
        <v>326</v>
      </c>
      <c r="C10" s="1141"/>
      <c r="D10" s="1141"/>
      <c r="E10" s="1141"/>
      <c r="F10" s="1141"/>
      <c r="G10" s="601"/>
      <c r="H10" s="1686" t="s">
        <v>788</v>
      </c>
      <c r="I10" s="1687"/>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K15" s="1148"/>
      <c r="L15" s="1148"/>
      <c r="O15" s="322"/>
      <c r="P15" s="322"/>
      <c r="Q15" s="322"/>
      <c r="R15" s="322"/>
      <c r="S15" s="322"/>
      <c r="T15" s="322"/>
      <c r="U15" s="322"/>
    </row>
    <row r="16" spans="2:21" ht="26.25" customHeight="1" thickBot="1">
      <c r="B16" s="1936" t="str">
        <f>UPPER('KEY INPUTS'!D$56)&amp;"  UTILITY"&amp;" ________________ LOAN"</f>
        <v xml:space="preserve">  UTILITY ________________ LOAN</v>
      </c>
      <c r="C16" s="1936"/>
      <c r="D16" s="1936"/>
      <c r="E16" s="1936"/>
      <c r="F16" s="1936"/>
      <c r="G16" s="1936"/>
      <c r="H16" s="1936"/>
      <c r="I16" s="1937"/>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K17" s="1148"/>
      <c r="L17" s="1148"/>
      <c r="O17" s="322"/>
      <c r="P17" s="322"/>
      <c r="Q17" s="322"/>
      <c r="R17" s="322"/>
      <c r="S17" s="322"/>
      <c r="T17" s="322"/>
      <c r="U17" s="322"/>
    </row>
    <row r="18" spans="2:21" ht="21" customHeight="1">
      <c r="B18" s="691" t="s">
        <v>113</v>
      </c>
      <c r="C18" s="1141"/>
      <c r="D18" s="1141"/>
      <c r="E18" s="1141"/>
      <c r="F18" s="1141"/>
      <c r="G18" s="975" t="s">
        <v>788</v>
      </c>
      <c r="H18" s="1680"/>
      <c r="I18" s="1681"/>
      <c r="K18" s="1148"/>
      <c r="L18" s="1148"/>
      <c r="O18" s="322"/>
      <c r="P18" s="322"/>
      <c r="Q18" s="322"/>
      <c r="R18" s="322"/>
      <c r="S18" s="322"/>
      <c r="T18" s="322"/>
      <c r="U18" s="322"/>
    </row>
    <row r="19" spans="2:21" ht="21" customHeight="1">
      <c r="B19" s="691" t="s">
        <v>326</v>
      </c>
      <c r="C19" s="1141"/>
      <c r="D19" s="1141"/>
      <c r="E19" s="1141"/>
      <c r="F19" s="1141"/>
      <c r="G19" s="601"/>
      <c r="H19" s="1686" t="s">
        <v>788</v>
      </c>
      <c r="I19" s="1687"/>
      <c r="K19" s="1148"/>
      <c r="L19" s="1148"/>
      <c r="O19" s="322"/>
      <c r="P19" s="322"/>
      <c r="Q19" s="322"/>
      <c r="R19" s="322"/>
      <c r="S19" s="322"/>
      <c r="T19" s="322"/>
      <c r="U19" s="322"/>
    </row>
    <row r="20" spans="2:21" ht="21" customHeight="1">
      <c r="B20" s="691"/>
      <c r="C20" s="1141"/>
      <c r="D20" s="1141"/>
      <c r="E20" s="1141"/>
      <c r="F20" s="1141"/>
      <c r="G20" s="1107"/>
      <c r="H20" s="1708"/>
      <c r="I20" s="1709"/>
      <c r="K20" s="1148"/>
      <c r="L20" s="1148"/>
      <c r="O20" s="322"/>
      <c r="P20" s="322"/>
      <c r="Q20" s="322"/>
      <c r="R20" s="322"/>
      <c r="S20" s="322"/>
      <c r="T20" s="322"/>
      <c r="U20" s="322"/>
    </row>
    <row r="21" spans="2:21" ht="21" customHeight="1">
      <c r="B21" s="691"/>
      <c r="C21" s="1141"/>
      <c r="D21" s="1141"/>
      <c r="E21" s="1141"/>
      <c r="F21" s="1141"/>
      <c r="G21" s="1107"/>
      <c r="H21" s="1708"/>
      <c r="I21" s="1709"/>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K22" s="1148"/>
      <c r="L22" s="1148"/>
      <c r="O22" s="322"/>
      <c r="P22" s="322"/>
      <c r="Q22" s="322"/>
      <c r="R22" s="322"/>
      <c r="S22" s="322"/>
      <c r="T22" s="322"/>
      <c r="U22" s="322"/>
    </row>
    <row r="23" spans="2:21" ht="21" customHeight="1" thickBot="1">
      <c r="B23" s="1116"/>
      <c r="C23" s="1148"/>
      <c r="D23" s="1148"/>
      <c r="E23" s="1148"/>
      <c r="F23" s="1148"/>
      <c r="G23" s="1085">
        <f>SUM(G17:G22)</f>
        <v>0</v>
      </c>
      <c r="H23" s="1684">
        <f>SUM(H17:I22)</f>
        <v>0</v>
      </c>
      <c r="I23" s="1685"/>
      <c r="K23" s="1148"/>
      <c r="L23" s="1148"/>
    </row>
    <row r="24" spans="2:21" ht="21" customHeight="1" thickTop="1">
      <c r="B24" s="1384" t="str">
        <f>TEXT('KEY INPUTS'!D34+1,"0")&amp;" Loan Maturities"</f>
        <v>2020 Loan Maturities</v>
      </c>
      <c r="C24" s="1393"/>
      <c r="D24" s="1393"/>
      <c r="E24" s="1393"/>
      <c r="F24" s="1393"/>
      <c r="G24" s="1393"/>
      <c r="H24" s="479"/>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INPUTS'!D56)&amp;"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415" t="s">
        <v>482</v>
      </c>
      <c r="I28" s="1395">
        <f>+I25+I14</f>
        <v>0</v>
      </c>
    </row>
    <row r="29" spans="2:21" ht="21" customHeight="1">
      <c r="B29" s="916" t="str">
        <f>"Less: Interest Accrued to "&amp;TEXT('KEY INPUTS'!D29,"mm/dd/yyy")&amp;" (Trial Balance)"</f>
        <v>Less: Interest Accrued to 12/31/2019 (Trial Balance)</v>
      </c>
      <c r="C29" s="691"/>
      <c r="D29" s="1141"/>
      <c r="E29" s="1141"/>
      <c r="F29" s="1141"/>
      <c r="G29" s="1141"/>
      <c r="H29" s="334" t="s">
        <v>482</v>
      </c>
      <c r="I29" s="652"/>
    </row>
    <row r="30" spans="2:21" ht="21" customHeight="1">
      <c r="B30" s="691"/>
      <c r="C30" s="691" t="s">
        <v>421</v>
      </c>
      <c r="D30" s="1141"/>
      <c r="E30" s="1141"/>
      <c r="F30" s="1141"/>
      <c r="G30" s="1141"/>
      <c r="H30" s="334" t="s">
        <v>482</v>
      </c>
      <c r="I30" s="512">
        <f>+I28-I29</f>
        <v>0</v>
      </c>
    </row>
    <row r="31" spans="2:21" ht="21" customHeight="1">
      <c r="B31" s="916" t="str">
        <f>"Add: Interest to be Accrued as of "&amp;TEXT('KEY INPUTS'!D30,"mm/dd/yyyy")&amp;""</f>
        <v>Add: Interest to be Accrued as of 12/31/2020</v>
      </c>
      <c r="C31" s="691"/>
      <c r="D31" s="1141"/>
      <c r="E31" s="1141"/>
      <c r="F31" s="1141"/>
      <c r="G31" s="1141"/>
      <c r="H31" s="334" t="s">
        <v>482</v>
      </c>
      <c r="I31" s="652"/>
    </row>
    <row r="32" spans="2:21" ht="21" customHeight="1">
      <c r="B32" s="916" t="str">
        <f>"Required Appropriation "&amp;TEXT('KEY INPUTS'!D34+1,"0")</f>
        <v>Required Appropriation 2020</v>
      </c>
      <c r="C32" s="691"/>
      <c r="D32" s="1141"/>
      <c r="E32" s="1141"/>
      <c r="F32" s="1141"/>
      <c r="G32" s="1141"/>
      <c r="H32" s="334"/>
      <c r="I32" s="1167"/>
      <c r="J32" s="506"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algorithmName="SHA-512" hashValue="JrC7+/QX7Jc4gP8yIO+BgaF5qEEiABk8ajcN37CMJk96M8k2x08iHPB1I6k6CWdr/MGWeP3U4AGkZR7fl2cx8A==" saltValue="kBPB0/fs1olGHIeznPu7G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P27"/>
  <sheetViews>
    <sheetView zoomScaleNormal="100" workbookViewId="0">
      <selection activeCell="B1" sqref="B1"/>
    </sheetView>
  </sheetViews>
  <sheetFormatPr defaultRowHeight="13.2"/>
  <cols>
    <col min="1" max="1" width="5.6640625" customWidth="1"/>
    <col min="2" max="3" width="4.88671875" customWidth="1"/>
    <col min="4" max="4" width="30.6640625" customWidth="1"/>
    <col min="5" max="12" width="15.6640625" customWidth="1"/>
  </cols>
  <sheetData>
    <row r="2" spans="1:16" ht="20.399999999999999">
      <c r="B2" s="1508" t="s">
        <v>669</v>
      </c>
      <c r="C2" s="1508"/>
      <c r="D2" s="1508"/>
      <c r="E2" s="1508"/>
      <c r="F2" s="1508"/>
      <c r="G2" s="1508"/>
      <c r="H2" s="1508"/>
      <c r="I2" s="1508"/>
      <c r="J2" s="1508"/>
      <c r="K2" s="1508"/>
      <c r="L2" s="1508"/>
    </row>
    <row r="3" spans="1:16" ht="21" thickBot="1">
      <c r="B3" s="1508" t="s">
        <v>670</v>
      </c>
      <c r="C3" s="1508"/>
      <c r="D3" s="1508"/>
      <c r="E3" s="1508"/>
      <c r="F3" s="1508"/>
      <c r="G3" s="1508"/>
      <c r="H3" s="1508"/>
      <c r="I3" s="1508"/>
      <c r="J3" s="1508"/>
      <c r="K3" s="1508"/>
      <c r="L3" s="1508"/>
    </row>
    <row r="4" spans="1:16" ht="13.8" thickTop="1">
      <c r="B4" s="11"/>
      <c r="C4" s="11"/>
      <c r="D4" s="11"/>
      <c r="E4" s="12" t="s">
        <v>671</v>
      </c>
      <c r="F4" s="11"/>
      <c r="G4" s="11"/>
      <c r="H4" s="11"/>
      <c r="I4" s="11"/>
      <c r="J4" s="6"/>
      <c r="K4" s="11"/>
      <c r="L4" s="865"/>
    </row>
    <row r="5" spans="1:16" ht="15.6">
      <c r="B5" s="322"/>
      <c r="C5" s="322" t="s">
        <v>679</v>
      </c>
      <c r="D5" s="322"/>
      <c r="E5" s="282" t="s">
        <v>672</v>
      </c>
      <c r="F5" s="1573" t="s">
        <v>673</v>
      </c>
      <c r="G5" s="1574"/>
      <c r="H5" s="1574"/>
      <c r="I5" s="1575"/>
      <c r="J5" s="15"/>
      <c r="K5" s="322"/>
      <c r="L5" s="866" t="s">
        <v>672</v>
      </c>
    </row>
    <row r="6" spans="1:16">
      <c r="B6" s="322"/>
      <c r="C6" s="322" t="s">
        <v>680</v>
      </c>
      <c r="D6" s="322"/>
      <c r="E6" s="299" t="str">
        <f>'KEY INPUTS'!D45</f>
        <v>Dec. 31, 2018</v>
      </c>
      <c r="F6" s="282" t="s">
        <v>674</v>
      </c>
      <c r="G6" s="282" t="s">
        <v>676</v>
      </c>
      <c r="H6" s="15"/>
      <c r="I6" s="15"/>
      <c r="J6" s="15"/>
      <c r="K6" s="821" t="s">
        <v>678</v>
      </c>
      <c r="L6" s="867" t="str">
        <f>'KEY INPUTS'!D46</f>
        <v>Dec. 31, 2019</v>
      </c>
    </row>
    <row r="7" spans="1:16" ht="13.8" thickBot="1">
      <c r="B7" s="10"/>
      <c r="C7" s="10"/>
      <c r="D7" s="10"/>
      <c r="E7" s="14"/>
      <c r="F7" s="16" t="s">
        <v>675</v>
      </c>
      <c r="G7" s="16" t="s">
        <v>677</v>
      </c>
      <c r="H7" s="14"/>
      <c r="I7" s="14"/>
      <c r="J7" s="14"/>
      <c r="K7" s="17"/>
      <c r="L7" s="868"/>
    </row>
    <row r="8" spans="1:16" ht="21" customHeight="1" thickTop="1">
      <c r="B8" s="381" t="s">
        <v>782</v>
      </c>
      <c r="C8" s="381"/>
      <c r="D8" s="382"/>
      <c r="E8" s="145" t="s">
        <v>788</v>
      </c>
      <c r="F8" s="145" t="s">
        <v>788</v>
      </c>
      <c r="G8" s="145" t="s">
        <v>788</v>
      </c>
      <c r="H8" s="145" t="s">
        <v>788</v>
      </c>
      <c r="I8" s="145" t="s">
        <v>788</v>
      </c>
      <c r="J8" s="145" t="s">
        <v>788</v>
      </c>
      <c r="K8" s="145" t="s">
        <v>788</v>
      </c>
      <c r="L8" s="869" t="s">
        <v>788</v>
      </c>
    </row>
    <row r="9" spans="1:16" ht="21" customHeight="1">
      <c r="B9" s="566"/>
      <c r="C9" s="566"/>
      <c r="D9" s="572"/>
      <c r="E9" s="374"/>
      <c r="F9" s="374"/>
      <c r="G9" s="374"/>
      <c r="H9" s="374"/>
      <c r="I9" s="374"/>
      <c r="J9" s="374"/>
      <c r="K9" s="374"/>
      <c r="L9" s="846">
        <f>+E9+F9+G9+H9+I9-J9-K9</f>
        <v>0</v>
      </c>
    </row>
    <row r="10" spans="1:16" ht="21" customHeight="1">
      <c r="B10" s="566"/>
      <c r="C10" s="566"/>
      <c r="D10" s="572"/>
      <c r="E10" s="374"/>
      <c r="F10" s="374"/>
      <c r="G10" s="374"/>
      <c r="H10" s="374"/>
      <c r="I10" s="374"/>
      <c r="J10" s="374"/>
      <c r="K10" s="374"/>
      <c r="L10" s="846">
        <f t="shared" ref="L10:L13" si="0">+E10+F10+G10+H10+I10-J10-K10</f>
        <v>0</v>
      </c>
    </row>
    <row r="11" spans="1:16" ht="21" customHeight="1">
      <c r="B11" s="566"/>
      <c r="C11" s="566"/>
      <c r="D11" s="572"/>
      <c r="E11" s="374"/>
      <c r="F11" s="374"/>
      <c r="G11" s="374"/>
      <c r="H11" s="374"/>
      <c r="I11" s="374"/>
      <c r="J11" s="374"/>
      <c r="K11" s="374"/>
      <c r="L11" s="846">
        <f t="shared" si="0"/>
        <v>0</v>
      </c>
      <c r="P11" s="377"/>
    </row>
    <row r="12" spans="1:16" ht="21" customHeight="1">
      <c r="B12" s="566"/>
      <c r="C12" s="566"/>
      <c r="D12" s="572"/>
      <c r="E12" s="374"/>
      <c r="F12" s="374"/>
      <c r="G12" s="374"/>
      <c r="H12" s="374"/>
      <c r="I12" s="374"/>
      <c r="J12" s="374"/>
      <c r="K12" s="374"/>
      <c r="L12" s="846">
        <f t="shared" si="0"/>
        <v>0</v>
      </c>
    </row>
    <row r="13" spans="1:16" ht="21" customHeight="1">
      <c r="B13" s="566"/>
      <c r="C13" s="566"/>
      <c r="D13" s="572"/>
      <c r="E13" s="597"/>
      <c r="F13" s="374"/>
      <c r="G13" s="374"/>
      <c r="H13" s="374"/>
      <c r="I13" s="374"/>
      <c r="J13" s="374"/>
      <c r="K13" s="374"/>
      <c r="L13" s="846">
        <f t="shared" si="0"/>
        <v>0</v>
      </c>
    </row>
    <row r="14" spans="1:16" ht="21" customHeight="1">
      <c r="B14" s="383" t="s">
        <v>783</v>
      </c>
      <c r="C14" s="383"/>
      <c r="D14" s="384"/>
      <c r="E14" s="146" t="s">
        <v>788</v>
      </c>
      <c r="F14" s="146" t="s">
        <v>788</v>
      </c>
      <c r="G14" s="146" t="s">
        <v>788</v>
      </c>
      <c r="H14" s="146" t="s">
        <v>788</v>
      </c>
      <c r="I14" s="146" t="s">
        <v>788</v>
      </c>
      <c r="J14" s="146" t="s">
        <v>788</v>
      </c>
      <c r="K14" s="146" t="s">
        <v>788</v>
      </c>
      <c r="L14" s="870" t="s">
        <v>788</v>
      </c>
    </row>
    <row r="15" spans="1:16" ht="21" customHeight="1">
      <c r="A15" s="1576" t="s">
        <v>681</v>
      </c>
      <c r="B15" s="566"/>
      <c r="C15" s="566"/>
      <c r="D15" s="572"/>
      <c r="E15" s="374"/>
      <c r="F15" s="374"/>
      <c r="G15" s="374"/>
      <c r="H15" s="374"/>
      <c r="I15" s="374"/>
      <c r="J15" s="374"/>
      <c r="K15" s="374"/>
      <c r="L15" s="846">
        <f>+E15+F15+G15+H15+I15-J15-K15</f>
        <v>0</v>
      </c>
    </row>
    <row r="16" spans="1:16" ht="21" customHeight="1">
      <c r="A16" s="1576"/>
      <c r="B16" s="566"/>
      <c r="C16" s="566"/>
      <c r="D16" s="572"/>
      <c r="E16" s="374"/>
      <c r="F16" s="374"/>
      <c r="G16" s="374"/>
      <c r="H16" s="374"/>
      <c r="I16" s="374"/>
      <c r="J16" s="374"/>
      <c r="K16" s="374"/>
      <c r="L16" s="846">
        <f t="shared" ref="L16:L25" si="1">+E16+F16+G16+H16+I16-J16-K16</f>
        <v>0</v>
      </c>
    </row>
    <row r="17" spans="1:12" ht="21" customHeight="1">
      <c r="A17" s="1576"/>
      <c r="B17" s="566"/>
      <c r="C17" s="566"/>
      <c r="D17" s="572"/>
      <c r="E17" s="374"/>
      <c r="F17" s="374"/>
      <c r="G17" s="374"/>
      <c r="H17" s="374"/>
      <c r="I17" s="374"/>
      <c r="J17" s="374"/>
      <c r="K17" s="374"/>
      <c r="L17" s="846">
        <f t="shared" si="1"/>
        <v>0</v>
      </c>
    </row>
    <row r="18" spans="1:12" ht="21" customHeight="1">
      <c r="B18" s="566"/>
      <c r="C18" s="566"/>
      <c r="D18" s="572"/>
      <c r="E18" s="374"/>
      <c r="F18" s="374"/>
      <c r="G18" s="374"/>
      <c r="H18" s="374"/>
      <c r="I18" s="374"/>
      <c r="J18" s="374"/>
      <c r="K18" s="374"/>
      <c r="L18" s="846">
        <f t="shared" si="1"/>
        <v>0</v>
      </c>
    </row>
    <row r="19" spans="1:12" ht="21" customHeight="1">
      <c r="B19" s="383" t="s">
        <v>784</v>
      </c>
      <c r="C19" s="383"/>
      <c r="D19" s="384"/>
      <c r="E19" s="374"/>
      <c r="F19" s="374"/>
      <c r="G19" s="374"/>
      <c r="H19" s="374"/>
      <c r="I19" s="374"/>
      <c r="J19" s="374"/>
      <c r="K19" s="374"/>
      <c r="L19" s="846">
        <f t="shared" si="1"/>
        <v>0</v>
      </c>
    </row>
    <row r="20" spans="1:12" ht="21" customHeight="1">
      <c r="B20" s="383" t="s">
        <v>785</v>
      </c>
      <c r="C20" s="383"/>
      <c r="D20" s="384"/>
      <c r="E20" s="374"/>
      <c r="F20" s="374"/>
      <c r="G20" s="374"/>
      <c r="H20" s="374"/>
      <c r="I20" s="374"/>
      <c r="J20" s="374"/>
      <c r="K20" s="374"/>
      <c r="L20" s="846">
        <f t="shared" si="1"/>
        <v>0</v>
      </c>
    </row>
    <row r="21" spans="1:12" ht="21" customHeight="1">
      <c r="B21" s="383" t="s">
        <v>786</v>
      </c>
      <c r="C21" s="383"/>
      <c r="D21" s="384"/>
      <c r="E21" s="146" t="s">
        <v>788</v>
      </c>
      <c r="F21" s="146" t="s">
        <v>788</v>
      </c>
      <c r="G21" s="146" t="s">
        <v>788</v>
      </c>
      <c r="H21" s="146" t="s">
        <v>788</v>
      </c>
      <c r="I21" s="146" t="s">
        <v>788</v>
      </c>
      <c r="J21" s="146" t="s">
        <v>788</v>
      </c>
      <c r="K21" s="146" t="s">
        <v>788</v>
      </c>
      <c r="L21" s="871" t="s">
        <v>788</v>
      </c>
    </row>
    <row r="22" spans="1:12" ht="21" customHeight="1">
      <c r="B22" s="566"/>
      <c r="C22" s="566"/>
      <c r="D22" s="572"/>
      <c r="E22" s="374"/>
      <c r="F22" s="374"/>
      <c r="G22" s="374"/>
      <c r="H22" s="374"/>
      <c r="I22" s="374"/>
      <c r="J22" s="374"/>
      <c r="K22" s="374"/>
      <c r="L22" s="846">
        <f t="shared" si="1"/>
        <v>0</v>
      </c>
    </row>
    <row r="23" spans="1:12" ht="21" customHeight="1">
      <c r="B23" s="566"/>
      <c r="C23" s="566"/>
      <c r="D23" s="572"/>
      <c r="E23" s="374"/>
      <c r="F23" s="374"/>
      <c r="G23" s="374"/>
      <c r="H23" s="374"/>
      <c r="I23" s="374"/>
      <c r="J23" s="374"/>
      <c r="K23" s="374"/>
      <c r="L23" s="846">
        <f t="shared" si="1"/>
        <v>0</v>
      </c>
    </row>
    <row r="24" spans="1:12" ht="21" customHeight="1">
      <c r="B24" s="566"/>
      <c r="C24" s="566"/>
      <c r="D24" s="572"/>
      <c r="E24" s="374"/>
      <c r="F24" s="374"/>
      <c r="G24" s="374"/>
      <c r="H24" s="374"/>
      <c r="I24" s="374"/>
      <c r="J24" s="374"/>
      <c r="K24" s="374"/>
      <c r="L24" s="846">
        <f t="shared" si="1"/>
        <v>0</v>
      </c>
    </row>
    <row r="25" spans="1:12" ht="21" customHeight="1">
      <c r="B25" s="566"/>
      <c r="C25" s="566"/>
      <c r="D25" s="572"/>
      <c r="E25" s="374"/>
      <c r="F25" s="374"/>
      <c r="G25" s="374"/>
      <c r="H25" s="374"/>
      <c r="I25" s="374"/>
      <c r="J25" s="374"/>
      <c r="K25" s="374"/>
      <c r="L25" s="846">
        <f t="shared" si="1"/>
        <v>0</v>
      </c>
    </row>
    <row r="26" spans="1:12" ht="21" customHeight="1" thickBot="1">
      <c r="B26" s="861"/>
      <c r="C26" s="861"/>
      <c r="D26" s="862"/>
      <c r="E26" s="863">
        <f>SUM(E9:E25)</f>
        <v>0</v>
      </c>
      <c r="F26" s="863">
        <f t="shared" ref="F26:K26" si="2">SUM(F9:F25)</f>
        <v>0</v>
      </c>
      <c r="G26" s="863">
        <f t="shared" si="2"/>
        <v>0</v>
      </c>
      <c r="H26" s="863">
        <f t="shared" si="2"/>
        <v>0</v>
      </c>
      <c r="I26" s="863">
        <f t="shared" si="2"/>
        <v>0</v>
      </c>
      <c r="J26" s="863">
        <f t="shared" si="2"/>
        <v>0</v>
      </c>
      <c r="K26" s="863">
        <f t="shared" si="2"/>
        <v>0</v>
      </c>
      <c r="L26" s="864">
        <f>SUM(L9:L25)</f>
        <v>0</v>
      </c>
    </row>
    <row r="27" spans="1:12" ht="13.8" thickTop="1">
      <c r="B27" s="34" t="s">
        <v>787</v>
      </c>
    </row>
  </sheetData>
  <sheetProtection algorithmName="SHA-512" hashValue="r0oX3Z1uMksD0EfgX/TqDIRXVJgjaYZ92AmfBA8K/YB2Afsb6L1PoPYerUh3xzmA1TfOcfVvAN6oDIyB13XO1w==" saltValue="zs0xyvMuONBiXO6S77Lcy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59">
    <tabColor theme="7" tint="0.39997558519241921"/>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INPUTS'!D$56)&amp;"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K7" s="1148"/>
      <c r="L7" s="1148"/>
      <c r="O7" s="322"/>
      <c r="P7" s="322"/>
      <c r="Q7" s="322"/>
      <c r="R7" s="322"/>
      <c r="S7" s="322"/>
      <c r="T7" s="322"/>
      <c r="U7" s="322"/>
    </row>
    <row r="8" spans="2:21" ht="21" customHeight="1">
      <c r="B8" s="691" t="s">
        <v>113</v>
      </c>
      <c r="C8" s="1141"/>
      <c r="D8" s="1141"/>
      <c r="E8" s="1141"/>
      <c r="F8" s="1141"/>
      <c r="G8" s="975" t="s">
        <v>788</v>
      </c>
      <c r="H8" s="1680"/>
      <c r="I8" s="1681"/>
      <c r="K8" s="1148"/>
      <c r="L8" s="1148"/>
      <c r="O8" s="377"/>
      <c r="P8" s="322"/>
      <c r="Q8" s="322"/>
      <c r="R8" s="322"/>
      <c r="S8" s="322"/>
      <c r="T8" s="322"/>
      <c r="U8" s="322"/>
    </row>
    <row r="9" spans="2:21" ht="21" customHeight="1">
      <c r="B9" s="691"/>
      <c r="C9" s="1141"/>
      <c r="D9" s="1141"/>
      <c r="E9" s="1141"/>
      <c r="F9" s="1141"/>
      <c r="G9" s="975"/>
      <c r="H9" s="808"/>
      <c r="I9" s="1392"/>
      <c r="K9" s="1148"/>
      <c r="L9" s="1148"/>
      <c r="O9" s="322"/>
      <c r="P9" s="322"/>
      <c r="Q9" s="322"/>
      <c r="R9" s="322"/>
      <c r="S9" s="322"/>
      <c r="T9" s="322"/>
      <c r="U9" s="322"/>
    </row>
    <row r="10" spans="2:21" ht="21" customHeight="1">
      <c r="B10" s="691" t="s">
        <v>326</v>
      </c>
      <c r="C10" s="1141"/>
      <c r="D10" s="1141"/>
      <c r="E10" s="1141"/>
      <c r="F10" s="1141"/>
      <c r="G10" s="601"/>
      <c r="H10" s="1686" t="s">
        <v>788</v>
      </c>
      <c r="I10" s="1687"/>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K15" s="1148"/>
      <c r="L15" s="1148"/>
      <c r="O15" s="322"/>
      <c r="P15" s="322"/>
      <c r="Q15" s="322"/>
      <c r="R15" s="322"/>
      <c r="S15" s="322"/>
      <c r="T15" s="322"/>
      <c r="U15" s="322"/>
    </row>
    <row r="16" spans="2:21" ht="26.25" customHeight="1" thickBot="1">
      <c r="B16" s="1936" t="str">
        <f>UPPER('KEY INPUTS'!D$56)&amp;"  UTILITY"&amp;" ________________ LOAN"</f>
        <v xml:space="preserve">  UTILITY ________________ LOAN</v>
      </c>
      <c r="C16" s="1936"/>
      <c r="D16" s="1936"/>
      <c r="E16" s="1936"/>
      <c r="F16" s="1936"/>
      <c r="G16" s="1936"/>
      <c r="H16" s="1936"/>
      <c r="I16" s="1937"/>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K17" s="1148"/>
      <c r="L17" s="1148"/>
      <c r="O17" s="322"/>
      <c r="P17" s="322"/>
      <c r="Q17" s="322"/>
      <c r="R17" s="322"/>
      <c r="S17" s="322"/>
      <c r="T17" s="322"/>
      <c r="U17" s="322"/>
    </row>
    <row r="18" spans="2:21" ht="21" customHeight="1">
      <c r="B18" s="691" t="s">
        <v>113</v>
      </c>
      <c r="C18" s="1141"/>
      <c r="D18" s="1141"/>
      <c r="E18" s="1141"/>
      <c r="F18" s="1141"/>
      <c r="G18" s="975" t="s">
        <v>788</v>
      </c>
      <c r="H18" s="1680"/>
      <c r="I18" s="1681"/>
      <c r="K18" s="1148"/>
      <c r="L18" s="1148"/>
      <c r="O18" s="322"/>
      <c r="P18" s="322"/>
      <c r="Q18" s="322"/>
      <c r="R18" s="322"/>
      <c r="S18" s="322"/>
      <c r="T18" s="322"/>
      <c r="U18" s="322"/>
    </row>
    <row r="19" spans="2:21" ht="21" customHeight="1">
      <c r="B19" s="691" t="s">
        <v>326</v>
      </c>
      <c r="C19" s="1141"/>
      <c r="D19" s="1141"/>
      <c r="E19" s="1141"/>
      <c r="F19" s="1141"/>
      <c r="G19" s="601"/>
      <c r="H19" s="1686" t="s">
        <v>788</v>
      </c>
      <c r="I19" s="1687"/>
      <c r="K19" s="1148"/>
      <c r="L19" s="1148"/>
      <c r="O19" s="322"/>
      <c r="P19" s="322"/>
      <c r="Q19" s="322"/>
      <c r="R19" s="322"/>
      <c r="S19" s="322"/>
      <c r="T19" s="322"/>
      <c r="U19" s="322"/>
    </row>
    <row r="20" spans="2:21" ht="21" customHeight="1">
      <c r="B20" s="691"/>
      <c r="C20" s="1141"/>
      <c r="D20" s="1141"/>
      <c r="E20" s="1141"/>
      <c r="F20" s="1141"/>
      <c r="G20" s="1107"/>
      <c r="H20" s="1708"/>
      <c r="I20" s="1709"/>
      <c r="K20" s="1148"/>
      <c r="L20" s="1148"/>
      <c r="O20" s="322"/>
      <c r="P20" s="322"/>
      <c r="Q20" s="322"/>
      <c r="R20" s="322"/>
      <c r="S20" s="322"/>
      <c r="T20" s="322"/>
      <c r="U20" s="322"/>
    </row>
    <row r="21" spans="2:21" ht="21" customHeight="1">
      <c r="B21" s="691"/>
      <c r="C21" s="1141"/>
      <c r="D21" s="1141"/>
      <c r="E21" s="1141"/>
      <c r="F21" s="1141"/>
      <c r="G21" s="1107"/>
      <c r="H21" s="1708"/>
      <c r="I21" s="1709"/>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K22" s="1148"/>
      <c r="L22" s="1148"/>
      <c r="O22" s="322"/>
      <c r="P22" s="322"/>
      <c r="Q22" s="322"/>
      <c r="R22" s="322"/>
      <c r="S22" s="322"/>
      <c r="T22" s="322"/>
      <c r="U22" s="322"/>
    </row>
    <row r="23" spans="2:21" ht="21" customHeight="1" thickBot="1">
      <c r="B23" s="398"/>
      <c r="G23" s="1085">
        <f>SUM(G17:G22)</f>
        <v>0</v>
      </c>
      <c r="H23" s="1684">
        <f>SUM(H17:I22)</f>
        <v>0</v>
      </c>
      <c r="I23" s="1685"/>
      <c r="K23" s="1148"/>
      <c r="L23" s="1148"/>
    </row>
    <row r="24" spans="2:21" ht="21" customHeight="1" thickTop="1">
      <c r="B24" s="1384" t="str">
        <f>TEXT('KEY INPUTS'!D34+1,"0")&amp;" Loan Maturities"</f>
        <v>2020 Loan Maturities</v>
      </c>
      <c r="C24" s="1393"/>
      <c r="D24" s="1393"/>
      <c r="E24" s="1393"/>
      <c r="F24" s="1393"/>
      <c r="G24" s="1393"/>
      <c r="H24" s="479"/>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INPUTS'!D56)&amp;"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1160" t="s">
        <v>482</v>
      </c>
      <c r="I28" s="1395">
        <f>+I25+I14</f>
        <v>0</v>
      </c>
      <c r="J28" s="1148"/>
      <c r="K28" s="1148"/>
      <c r="L28" s="1148"/>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c r="K29" s="1148"/>
      <c r="L29" s="1148"/>
    </row>
    <row r="30" spans="2:21" ht="21" customHeight="1">
      <c r="B30" s="691"/>
      <c r="C30" s="691" t="s">
        <v>421</v>
      </c>
      <c r="D30" s="1141"/>
      <c r="E30" s="1141"/>
      <c r="F30" s="1141"/>
      <c r="G30" s="1141"/>
      <c r="H30" s="334" t="s">
        <v>482</v>
      </c>
      <c r="I30" s="512">
        <f>+I28-I29</f>
        <v>0</v>
      </c>
      <c r="K30" s="1148"/>
      <c r="L30" s="1148"/>
    </row>
    <row r="31" spans="2:21" ht="21" customHeight="1">
      <c r="B31" s="916" t="str">
        <f>"Add: Interest to be Accrued as of "&amp;TEXT('KEY INPUTS'!D30,"mm/dd/yyyy")&amp;""</f>
        <v>Add: Interest to be Accrued as of 12/31/2020</v>
      </c>
      <c r="C31" s="691"/>
      <c r="D31" s="1141"/>
      <c r="E31" s="1141"/>
      <c r="F31" s="1141"/>
      <c r="G31" s="1141"/>
      <c r="H31" s="334" t="s">
        <v>482</v>
      </c>
      <c r="I31" s="600"/>
      <c r="K31" s="1148"/>
      <c r="L31" s="1148"/>
    </row>
    <row r="32" spans="2:21" ht="21" customHeight="1">
      <c r="B32" s="916" t="str">
        <f>"Required Appropriation "&amp;TEXT('KEY INPUTS'!D34+1,"0")</f>
        <v>Required Appropriation 2020</v>
      </c>
      <c r="C32" s="691"/>
      <c r="D32" s="1141"/>
      <c r="E32" s="1141"/>
      <c r="F32" s="1141"/>
      <c r="G32" s="1141"/>
      <c r="H32" s="334"/>
      <c r="I32" s="1167"/>
      <c r="J32" s="506"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algorithmName="SHA-512" hashValue="krJkv740EvNmYEriqoL2dj7Xu21q4+ph2WsPfIn2xeotySWvrL1U9tkqaUW3SWcc4dVpGzVyn/8E1cV1tnyEpQ==" saltValue="BFWlWFSmHVD1Mljo0jc8R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0">
    <tabColor theme="7" tint="0.39997558519241921"/>
  </sheetPr>
  <dimension ref="A2:V30"/>
  <sheetViews>
    <sheetView zoomScaleNormal="100" zoomScaleSheetLayoutView="80" workbookViewId="0">
      <selection activeCell="B1" sqref="B1"/>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2" spans="1:22" ht="20.399999999999999">
      <c r="B2" s="1789" t="str">
        <f>"DEBT  SERVICE  FOR  "&amp;UPPER('KEY INPUTS'!D56)&amp;"  UTILITY  NOTES  (OTHER  THAN  UTILITY  ASSESSMENT  NOTES)"</f>
        <v>DEBT  SERVICE  FOR    UTILITY  NOTES  (OTHER  THAN  UTILITY  ASSESSMENT  NOTES)</v>
      </c>
      <c r="C2" s="1789"/>
      <c r="D2" s="1789"/>
      <c r="E2" s="1789"/>
      <c r="F2" s="1789"/>
      <c r="G2" s="1789"/>
      <c r="H2" s="1789"/>
      <c r="I2" s="1789"/>
      <c r="J2" s="1789"/>
      <c r="K2" s="1789"/>
      <c r="L2" s="1789"/>
      <c r="M2" s="1789"/>
    </row>
    <row r="3" spans="1:22" ht="21" thickBot="1">
      <c r="B3" s="1789"/>
      <c r="C3" s="1789"/>
      <c r="D3" s="1789"/>
      <c r="E3" s="1789"/>
      <c r="F3" s="1789"/>
      <c r="G3" s="1789"/>
      <c r="H3" s="1789"/>
      <c r="I3" s="1789"/>
      <c r="J3" s="1789"/>
      <c r="K3" s="1789"/>
      <c r="L3" s="1789"/>
      <c r="M3" s="1789"/>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71"/>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c r="B9" s="537" t="s">
        <v>384</v>
      </c>
      <c r="C9" s="676"/>
      <c r="D9" s="677"/>
      <c r="E9" s="618"/>
      <c r="F9" s="1470"/>
      <c r="G9" s="618"/>
      <c r="H9" s="679"/>
      <c r="I9" s="620"/>
      <c r="J9" s="618"/>
      <c r="K9" s="618"/>
      <c r="L9" s="629"/>
      <c r="M9" s="680"/>
      <c r="P9" s="322"/>
      <c r="Q9" s="322"/>
      <c r="R9" s="322"/>
      <c r="S9" s="322"/>
      <c r="T9" s="322"/>
      <c r="U9" s="322"/>
      <c r="V9" s="322"/>
    </row>
    <row r="10" spans="1:22" ht="21" customHeight="1">
      <c r="B10" s="536" t="s">
        <v>385</v>
      </c>
      <c r="C10" s="681"/>
      <c r="D10" s="652"/>
      <c r="E10" s="601"/>
      <c r="F10" s="1471"/>
      <c r="G10" s="601"/>
      <c r="H10" s="601"/>
      <c r="I10" s="683"/>
      <c r="J10" s="684"/>
      <c r="K10" s="601"/>
      <c r="L10" s="631"/>
      <c r="M10" s="685"/>
      <c r="N10" s="398" t="s">
        <v>3408</v>
      </c>
      <c r="O10" s="398" t="s">
        <v>3408</v>
      </c>
      <c r="P10" s="377"/>
      <c r="Q10" s="322"/>
      <c r="R10" s="322"/>
      <c r="S10" s="322"/>
      <c r="T10" s="322"/>
      <c r="U10" s="322"/>
      <c r="V10" s="322"/>
    </row>
    <row r="11" spans="1:22" ht="21" customHeight="1">
      <c r="B11" s="536" t="s">
        <v>386</v>
      </c>
      <c r="C11" s="648"/>
      <c r="D11" s="652"/>
      <c r="E11" s="601"/>
      <c r="F11" s="1472"/>
      <c r="G11" s="601"/>
      <c r="H11" s="601"/>
      <c r="I11" s="623"/>
      <c r="J11" s="601"/>
      <c r="K11" s="601"/>
      <c r="L11" s="631"/>
      <c r="M11" s="685"/>
      <c r="P11" s="322"/>
      <c r="Q11" s="322"/>
      <c r="R11" s="322"/>
      <c r="S11" s="322"/>
      <c r="T11" s="322"/>
      <c r="U11" s="322"/>
      <c r="V11" s="322"/>
    </row>
    <row r="12" spans="1:22" ht="21" customHeight="1">
      <c r="B12" s="536" t="s">
        <v>387</v>
      </c>
      <c r="C12" s="648"/>
      <c r="D12" s="652"/>
      <c r="E12" s="601"/>
      <c r="F12" s="1472"/>
      <c r="G12" s="601"/>
      <c r="H12" s="601"/>
      <c r="I12" s="623"/>
      <c r="J12" s="601"/>
      <c r="K12" s="601"/>
      <c r="L12" s="631"/>
      <c r="M12" s="685"/>
      <c r="P12" s="322"/>
      <c r="Q12" s="322"/>
      <c r="R12" s="322"/>
      <c r="S12" s="322"/>
      <c r="T12" s="322"/>
      <c r="U12" s="322"/>
      <c r="V12" s="322"/>
    </row>
    <row r="13" spans="1:22" ht="21" customHeight="1">
      <c r="B13" s="536" t="s">
        <v>388</v>
      </c>
      <c r="C13" s="648"/>
      <c r="D13" s="652"/>
      <c r="E13" s="601"/>
      <c r="F13" s="1472"/>
      <c r="G13" s="601"/>
      <c r="H13" s="601"/>
      <c r="I13" s="623"/>
      <c r="J13" s="601"/>
      <c r="K13" s="601"/>
      <c r="L13" s="631"/>
      <c r="M13" s="685"/>
      <c r="P13" s="322"/>
      <c r="Q13" s="322"/>
      <c r="R13" s="322"/>
      <c r="S13" s="322"/>
      <c r="T13" s="322"/>
      <c r="U13" s="322"/>
      <c r="V13" s="322"/>
    </row>
    <row r="14" spans="1:22" ht="21" customHeight="1">
      <c r="B14" s="536" t="s">
        <v>389</v>
      </c>
      <c r="C14" s="648"/>
      <c r="D14" s="652"/>
      <c r="E14" s="604"/>
      <c r="F14" s="1473"/>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1472"/>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1472"/>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1472"/>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0</v>
      </c>
      <c r="F18" s="693"/>
      <c r="G18" s="690">
        <f>SUM(G9:G17)</f>
        <v>0</v>
      </c>
      <c r="H18" s="690"/>
      <c r="I18" s="694"/>
      <c r="J18" s="690">
        <f>SUM(J9:J17)</f>
        <v>0</v>
      </c>
      <c r="K18" s="690">
        <f>SUM(K9:K17)</f>
        <v>0</v>
      </c>
      <c r="L18" s="695"/>
      <c r="M18" s="696"/>
      <c r="P18" s="322"/>
      <c r="Q18" s="322"/>
      <c r="R18" s="322"/>
      <c r="S18" s="322"/>
      <c r="T18" s="322"/>
      <c r="U18" s="322"/>
      <c r="V18" s="322"/>
    </row>
    <row r="19" spans="1:22" ht="21" customHeight="1">
      <c r="A19" s="535"/>
      <c r="B19" s="1354"/>
      <c r="C19" s="1194"/>
      <c r="D19" s="1194"/>
      <c r="E19" s="1355"/>
      <c r="F19" s="1194"/>
      <c r="G19" s="1355"/>
      <c r="H19" s="1355"/>
      <c r="I19" s="1356"/>
      <c r="J19" s="1355"/>
      <c r="K19" s="1355"/>
      <c r="L19" s="1355"/>
      <c r="M19" s="1194"/>
      <c r="P19" s="322"/>
      <c r="Q19" s="322"/>
      <c r="R19" s="322"/>
      <c r="S19" s="322"/>
      <c r="T19" s="322"/>
      <c r="U19" s="322"/>
      <c r="V19" s="322"/>
    </row>
    <row r="20" spans="1:22" ht="21" customHeight="1">
      <c r="A20" s="535"/>
      <c r="B20" s="1354"/>
      <c r="C20" s="1194"/>
      <c r="D20" s="1194"/>
      <c r="E20" s="1355"/>
      <c r="F20" s="1194"/>
      <c r="G20" s="1355"/>
      <c r="H20" s="1355"/>
      <c r="I20" s="1356"/>
      <c r="J20" s="1355"/>
      <c r="K20" s="1355"/>
      <c r="L20" s="1355"/>
      <c r="M20" s="1194"/>
      <c r="P20" s="322"/>
      <c r="Q20" s="322"/>
      <c r="R20" s="322"/>
      <c r="S20" s="322"/>
      <c r="T20" s="322"/>
      <c r="U20" s="322"/>
      <c r="V20" s="322"/>
    </row>
    <row r="21" spans="1:22" ht="13.5" customHeight="1" thickBot="1">
      <c r="B21" s="1357"/>
      <c r="C21" s="1358"/>
      <c r="D21" s="1359"/>
      <c r="E21" s="1194"/>
      <c r="F21" s="1194"/>
      <c r="G21" s="1194"/>
      <c r="H21" s="1194"/>
      <c r="I21" s="1194"/>
      <c r="J21" s="1360"/>
      <c r="K21" s="1194"/>
      <c r="L21" s="1194"/>
      <c r="M21" s="1194"/>
      <c r="P21" s="322"/>
      <c r="Q21" s="322"/>
      <c r="R21" s="322"/>
      <c r="S21" s="322"/>
      <c r="T21" s="322"/>
      <c r="U21" s="322"/>
      <c r="V21" s="322"/>
    </row>
    <row r="22" spans="1:22" ht="14.4" thickTop="1" thickBot="1">
      <c r="B22" s="1222" t="s">
        <v>44</v>
      </c>
      <c r="C22" s="1121"/>
      <c r="D22" s="1361"/>
      <c r="E22" s="1121"/>
      <c r="F22" s="1116"/>
      <c r="G22" s="1116"/>
      <c r="H22" s="1116"/>
      <c r="I22" s="1861" t="str">
        <f>"INTEREST  ON  NOTES  -  "&amp;UPPER('KEY INPUTS'!D56)&amp;" UTILITY  BUDGET"</f>
        <v>INTEREST  ON  NOTES  -   UTILITY  BUDGET</v>
      </c>
      <c r="J22" s="1862"/>
      <c r="K22" s="1862"/>
      <c r="L22" s="1862"/>
      <c r="M22" s="1863"/>
      <c r="P22" s="322"/>
      <c r="Q22" s="322"/>
      <c r="R22" s="322"/>
      <c r="S22" s="322"/>
      <c r="T22" s="322"/>
      <c r="U22" s="322"/>
      <c r="V22" s="322"/>
    </row>
    <row r="23" spans="1:22" ht="15.6" customHeight="1">
      <c r="B23" s="1362" t="s">
        <v>45</v>
      </c>
      <c r="C23" s="1362"/>
      <c r="D23" s="1222" t="s">
        <v>46</v>
      </c>
      <c r="E23" s="1121"/>
      <c r="F23" s="1116"/>
      <c r="G23" s="1116"/>
      <c r="H23" s="1116"/>
      <c r="I23" s="1363" t="str">
        <f>TEXT('KEY INPUTS'!D34+1,"0")&amp;"  Interest on Notes"</f>
        <v>2020  Interest on Notes</v>
      </c>
      <c r="J23" s="1193"/>
      <c r="K23" s="1193"/>
      <c r="L23" s="526" t="s">
        <v>482</v>
      </c>
      <c r="M23" s="1236">
        <f>K18</f>
        <v>0</v>
      </c>
      <c r="P23" s="322"/>
      <c r="Q23" s="322"/>
      <c r="R23" s="322"/>
      <c r="S23" s="322"/>
      <c r="T23" s="322"/>
      <c r="U23" s="322"/>
      <c r="V23" s="322"/>
    </row>
    <row r="24" spans="1:22" ht="15.6" customHeight="1">
      <c r="B24" s="1222"/>
      <c r="C24" s="1222"/>
      <c r="D24" s="1362" t="s">
        <v>47</v>
      </c>
      <c r="E24" s="1121"/>
      <c r="F24" s="1116"/>
      <c r="G24" s="1116"/>
      <c r="H24" s="1116"/>
      <c r="I24" s="1417" t="str">
        <f>"Less: Interest Accrued to "&amp;TEXT('KEY INPUTS'!D29,"mm/dd/yyyy")&amp;" (Trial Balance)"</f>
        <v>Less: Interest Accrued to 12/31/2019 (Trial Balance)</v>
      </c>
      <c r="J24" s="691"/>
      <c r="K24" s="691"/>
      <c r="L24" s="524" t="s">
        <v>482</v>
      </c>
      <c r="M24" s="742"/>
      <c r="P24" s="322"/>
      <c r="Q24" s="322"/>
      <c r="R24" s="322"/>
      <c r="S24" s="322"/>
      <c r="T24" s="322"/>
      <c r="U24" s="322"/>
      <c r="V24" s="322"/>
    </row>
    <row r="25" spans="1:22" ht="15.6" customHeight="1">
      <c r="B25" s="1222"/>
      <c r="C25" s="1222"/>
      <c r="D25" s="1222" t="s">
        <v>48</v>
      </c>
      <c r="E25" s="1121"/>
      <c r="F25" s="1116"/>
      <c r="G25" s="1116"/>
      <c r="H25" s="1116"/>
      <c r="I25" s="1123"/>
      <c r="J25" s="691" t="s">
        <v>421</v>
      </c>
      <c r="K25" s="691"/>
      <c r="L25" s="524" t="s">
        <v>482</v>
      </c>
      <c r="M25" s="1237">
        <f>+M23-M24</f>
        <v>0</v>
      </c>
    </row>
    <row r="26" spans="1:22" ht="15.6" customHeight="1">
      <c r="B26" s="1222"/>
      <c r="C26" s="1222"/>
      <c r="D26" s="1222" t="str">
        <f>"All notes with an original date of issue of 2016"&amp;" or prior require one legally payable installment to be budgeted if it"</f>
        <v>All notes with an original date of issue of 2016 or prior require one legally payable installment to be budgeted if it</v>
      </c>
      <c r="E26" s="1121"/>
      <c r="F26" s="1116"/>
      <c r="G26" s="1116"/>
      <c r="H26" s="1116"/>
      <c r="I26" s="1417" t="str">
        <f>"Add: Interest to be Accrued as of "&amp;TEXT('KEY INPUTS'!D29,"mm/dd/yyyy")&amp;""</f>
        <v>Add: Interest to be Accrued as of 12/31/2019</v>
      </c>
      <c r="J26" s="691"/>
      <c r="K26" s="691"/>
      <c r="L26" s="524" t="s">
        <v>482</v>
      </c>
      <c r="M26" s="742"/>
    </row>
    <row r="27" spans="1:22" ht="15.6" customHeight="1" thickBot="1">
      <c r="B27" s="1222"/>
      <c r="C27" s="1222"/>
      <c r="D27" s="1222" t="str">
        <f>"is contemplated that such notes will be renewed in "&amp;TEXT('KEY INPUTS'!D34+1,"0")&amp;" or written intent of permanent financing submitted."</f>
        <v>is contemplated that such notes will be renewed in 2020 or written intent of permanent financing submitted.</v>
      </c>
      <c r="E27" s="1121"/>
      <c r="F27" s="1116"/>
      <c r="G27" s="1116"/>
      <c r="H27" s="1116"/>
      <c r="I27" s="1418" t="str">
        <f>"Required Appropriation - "&amp;TEXT('KEY INPUTS'!D34+1,"0")&amp;""</f>
        <v>Required Appropriation - 2020</v>
      </c>
      <c r="J27" s="1171"/>
      <c r="K27" s="1171"/>
      <c r="L27" s="522" t="s">
        <v>482</v>
      </c>
      <c r="M27" s="1238">
        <f>+M25+M26</f>
        <v>0</v>
      </c>
    </row>
    <row r="28" spans="1:22" ht="13.8" thickTop="1">
      <c r="B28" s="1222"/>
      <c r="C28" s="1222"/>
      <c r="D28" s="1222" t="s">
        <v>49</v>
      </c>
      <c r="E28" s="1121"/>
      <c r="F28" s="1116"/>
      <c r="G28" s="1116"/>
      <c r="H28" s="1116"/>
      <c r="I28" s="1116"/>
    </row>
    <row r="29" spans="1:22">
      <c r="B29" s="519"/>
      <c r="C29" s="519"/>
      <c r="D29" s="1362" t="s">
        <v>50</v>
      </c>
      <c r="E29" s="519"/>
    </row>
    <row r="30" spans="1:22">
      <c r="J30" s="1360" t="s">
        <v>127</v>
      </c>
      <c r="K30" s="1116"/>
      <c r="L30" s="1116"/>
      <c r="M30" s="1116"/>
    </row>
  </sheetData>
  <sheetProtection algorithmName="SHA-512" hashValue="jhJPyT3/J9RBurpQDanTc4n2CKHjxaEu00UWf7TFe6wyTSEIpd9igIEvI1/+jtbHO2klRSbboekeuTQtjZuKtA==" saltValue="3ctNXNTHMIs2GXPDFILjS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1">
    <tabColor theme="7" tint="0.39997558519241921"/>
  </sheetPr>
  <dimension ref="A2: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850" t="str">
        <f>"DEBT  SERVICE  SCHEDULE  FOR  "&amp;UPPER('KEY INPUTS'!D56) &amp;"  UTILITY  ASSESSMENT  NOTES"</f>
        <v>DEBT  SERVICE  SCHEDULE  FOR    UTILITY  ASSESSMENT  NOTES</v>
      </c>
      <c r="C2" s="1850"/>
      <c r="D2" s="1850"/>
      <c r="E2" s="1850"/>
      <c r="F2" s="1850"/>
      <c r="G2" s="1850"/>
      <c r="H2" s="1850"/>
      <c r="I2" s="1850"/>
      <c r="J2" s="1850"/>
      <c r="K2" s="1850"/>
      <c r="L2" s="1850"/>
    </row>
    <row r="3" spans="1:20" ht="21" thickBot="1">
      <c r="B3" s="1817"/>
      <c r="C3" s="1817"/>
      <c r="D3" s="1817"/>
      <c r="E3" s="1817"/>
      <c r="F3" s="1817"/>
      <c r="G3" s="1817"/>
      <c r="H3" s="1817"/>
      <c r="I3" s="1817"/>
      <c r="J3" s="1817"/>
      <c r="K3" s="1817"/>
      <c r="L3" s="1817"/>
    </row>
    <row r="4" spans="1:20" ht="13.5" customHeight="1" thickTop="1">
      <c r="B4" s="1959"/>
      <c r="C4" s="1959"/>
      <c r="D4" s="1960"/>
      <c r="E4" s="1433"/>
      <c r="F4" s="426"/>
      <c r="G4" s="426"/>
      <c r="H4" s="426"/>
      <c r="I4" s="426"/>
      <c r="J4" s="425"/>
      <c r="K4" s="425"/>
      <c r="L4" s="424"/>
    </row>
    <row r="5" spans="1:20" ht="13.5" customHeight="1">
      <c r="E5" s="422" t="s">
        <v>176</v>
      </c>
      <c r="F5" s="421" t="s">
        <v>176</v>
      </c>
      <c r="G5" s="421" t="s">
        <v>533</v>
      </c>
      <c r="H5" s="421" t="s">
        <v>18</v>
      </c>
      <c r="I5" s="421" t="s">
        <v>685</v>
      </c>
      <c r="J5" s="1961">
        <f>'KEY INPUTS'!D33</f>
        <v>2020</v>
      </c>
      <c r="K5" s="1962"/>
      <c r="L5" s="423" t="s">
        <v>686</v>
      </c>
    </row>
    <row r="6" spans="1:20" ht="13.5" customHeight="1">
      <c r="C6" s="1965" t="s">
        <v>175</v>
      </c>
      <c r="D6" s="1966"/>
      <c r="E6" s="422" t="s">
        <v>533</v>
      </c>
      <c r="F6" s="421" t="s">
        <v>177</v>
      </c>
      <c r="G6" s="421" t="s">
        <v>682</v>
      </c>
      <c r="H6" s="421" t="s">
        <v>683</v>
      </c>
      <c r="I6" s="421" t="s">
        <v>683</v>
      </c>
      <c r="J6" s="1963"/>
      <c r="K6" s="1964"/>
      <c r="L6" s="423" t="s">
        <v>689</v>
      </c>
    </row>
    <row r="7" spans="1:20" ht="13.5" customHeight="1">
      <c r="E7" s="422" t="s">
        <v>113</v>
      </c>
      <c r="F7" s="422" t="s">
        <v>178</v>
      </c>
      <c r="G7" s="422" t="s">
        <v>257</v>
      </c>
      <c r="H7" s="422" t="s">
        <v>684</v>
      </c>
      <c r="I7" s="422" t="s">
        <v>686</v>
      </c>
      <c r="J7" s="422" t="s">
        <v>142</v>
      </c>
      <c r="K7" s="422" t="s">
        <v>687</v>
      </c>
      <c r="L7" s="423" t="s">
        <v>690</v>
      </c>
      <c r="N7" s="322"/>
      <c r="O7" s="322"/>
      <c r="P7" s="322"/>
      <c r="Q7" s="322"/>
      <c r="R7" s="322"/>
      <c r="S7" s="322"/>
      <c r="T7" s="322"/>
    </row>
    <row r="8" spans="1:20" ht="13.5" customHeight="1" thickBot="1">
      <c r="B8" s="420"/>
      <c r="C8" s="420"/>
      <c r="D8" s="420"/>
      <c r="E8" s="418"/>
      <c r="F8" s="418"/>
      <c r="G8" s="798" t="str">
        <f>'KEY INPUTS'!D46</f>
        <v>Dec. 31, 2019</v>
      </c>
      <c r="H8" s="418"/>
      <c r="I8" s="418"/>
      <c r="J8" s="419"/>
      <c r="K8" s="546" t="s">
        <v>688</v>
      </c>
      <c r="L8" s="416"/>
      <c r="N8" s="322"/>
      <c r="O8" s="322"/>
      <c r="P8" s="322"/>
      <c r="Q8" s="322"/>
      <c r="R8" s="322"/>
      <c r="S8" s="322"/>
      <c r="T8" s="322"/>
    </row>
    <row r="9" spans="1:20" ht="21" customHeight="1" thickTop="1">
      <c r="B9" s="1875"/>
      <c r="C9" s="1875"/>
      <c r="D9" s="1876"/>
      <c r="E9" s="605"/>
      <c r="F9" s="799"/>
      <c r="G9" s="605"/>
      <c r="H9" s="605"/>
      <c r="I9" s="800"/>
      <c r="J9" s="605"/>
      <c r="K9" s="605"/>
      <c r="L9" s="801"/>
      <c r="N9" s="377"/>
      <c r="O9" s="322"/>
      <c r="P9" s="322"/>
      <c r="Q9" s="322"/>
      <c r="R9" s="322"/>
      <c r="S9" s="322"/>
      <c r="T9" s="322"/>
    </row>
    <row r="10" spans="1:20" ht="21" customHeight="1">
      <c r="B10" s="1877"/>
      <c r="C10" s="1877"/>
      <c r="D10" s="1878"/>
      <c r="E10" s="601"/>
      <c r="F10" s="686"/>
      <c r="G10" s="601"/>
      <c r="H10" s="601"/>
      <c r="I10" s="623"/>
      <c r="J10" s="601"/>
      <c r="K10" s="601"/>
      <c r="L10" s="700"/>
      <c r="N10" s="322"/>
      <c r="O10" s="322"/>
      <c r="P10" s="322"/>
      <c r="Q10" s="322"/>
      <c r="R10" s="322"/>
      <c r="S10" s="322"/>
      <c r="T10" s="322"/>
    </row>
    <row r="11" spans="1:20" ht="21" customHeight="1">
      <c r="B11" s="1877"/>
      <c r="C11" s="1877"/>
      <c r="D11" s="1878"/>
      <c r="E11" s="601"/>
      <c r="F11" s="686"/>
      <c r="G11" s="601"/>
      <c r="H11" s="601"/>
      <c r="I11" s="623"/>
      <c r="J11" s="601"/>
      <c r="K11" s="601"/>
      <c r="L11" s="700"/>
      <c r="N11" s="322"/>
      <c r="O11" s="322"/>
      <c r="P11" s="322"/>
      <c r="Q11" s="322"/>
      <c r="R11" s="322"/>
      <c r="S11" s="322"/>
      <c r="T11" s="322"/>
    </row>
    <row r="12" spans="1:20" ht="21" customHeight="1">
      <c r="B12" s="1877"/>
      <c r="C12" s="1877"/>
      <c r="D12" s="1878"/>
      <c r="E12" s="601"/>
      <c r="F12" s="686"/>
      <c r="G12" s="601"/>
      <c r="H12" s="601"/>
      <c r="I12" s="623"/>
      <c r="J12" s="601"/>
      <c r="K12" s="601"/>
      <c r="L12" s="700"/>
      <c r="N12" s="322"/>
      <c r="O12" s="322"/>
      <c r="P12" s="322"/>
      <c r="Q12" s="322"/>
      <c r="R12" s="322"/>
      <c r="S12" s="322"/>
      <c r="T12" s="322"/>
    </row>
    <row r="13" spans="1:20" ht="21" customHeight="1">
      <c r="B13" s="1877"/>
      <c r="C13" s="1877"/>
      <c r="D13" s="1878"/>
      <c r="E13" s="601"/>
      <c r="F13" s="686"/>
      <c r="G13" s="601"/>
      <c r="H13" s="601"/>
      <c r="I13" s="623"/>
      <c r="J13" s="601"/>
      <c r="K13" s="601"/>
      <c r="L13" s="700"/>
      <c r="N13" s="322"/>
      <c r="O13" s="322"/>
      <c r="P13" s="322"/>
      <c r="Q13" s="322"/>
      <c r="R13" s="322"/>
      <c r="S13" s="322"/>
      <c r="T13" s="322"/>
    </row>
    <row r="14" spans="1:20" ht="21" customHeight="1">
      <c r="B14" s="1877"/>
      <c r="C14" s="1877"/>
      <c r="D14" s="1878"/>
      <c r="E14" s="604"/>
      <c r="F14" s="687"/>
      <c r="G14" s="604"/>
      <c r="H14" s="604"/>
      <c r="I14" s="626"/>
      <c r="J14" s="601"/>
      <c r="K14" s="601"/>
      <c r="L14" s="700"/>
      <c r="N14" s="322"/>
      <c r="O14" s="322"/>
      <c r="P14" s="322"/>
      <c r="Q14" s="322"/>
      <c r="R14" s="322"/>
      <c r="S14" s="322"/>
      <c r="T14" s="322"/>
    </row>
    <row r="15" spans="1:20" ht="21" customHeight="1">
      <c r="A15" s="1793" t="s">
        <v>3449</v>
      </c>
      <c r="B15" s="1877"/>
      <c r="C15" s="1877"/>
      <c r="D15" s="1878"/>
      <c r="E15" s="601"/>
      <c r="F15" s="686"/>
      <c r="G15" s="601"/>
      <c r="H15" s="601"/>
      <c r="I15" s="623"/>
      <c r="J15" s="601"/>
      <c r="K15" s="601"/>
      <c r="L15" s="700"/>
      <c r="N15" s="322"/>
      <c r="O15" s="322"/>
      <c r="P15" s="322"/>
      <c r="Q15" s="322"/>
      <c r="R15" s="322"/>
      <c r="S15" s="322"/>
      <c r="T15" s="322"/>
    </row>
    <row r="16" spans="1:20" ht="21" customHeight="1">
      <c r="A16" s="1793"/>
      <c r="B16" s="1877"/>
      <c r="C16" s="1877"/>
      <c r="D16" s="1878"/>
      <c r="E16" s="601"/>
      <c r="F16" s="686"/>
      <c r="G16" s="601"/>
      <c r="H16" s="601"/>
      <c r="I16" s="623"/>
      <c r="J16" s="601"/>
      <c r="K16" s="601"/>
      <c r="L16" s="700"/>
      <c r="N16" s="322"/>
      <c r="O16" s="322"/>
      <c r="P16" s="322"/>
      <c r="Q16" s="322"/>
      <c r="R16" s="322"/>
      <c r="S16" s="322"/>
      <c r="T16" s="322"/>
    </row>
    <row r="17" spans="1:20" ht="21" customHeight="1">
      <c r="A17" s="1793"/>
      <c r="B17" s="1877"/>
      <c r="C17" s="1877"/>
      <c r="D17" s="1878"/>
      <c r="E17" s="601"/>
      <c r="F17" s="686"/>
      <c r="G17" s="601"/>
      <c r="H17" s="601"/>
      <c r="I17" s="623"/>
      <c r="J17" s="601"/>
      <c r="K17" s="601"/>
      <c r="L17" s="700"/>
      <c r="N17" s="322"/>
      <c r="O17" s="322"/>
      <c r="P17" s="322"/>
      <c r="Q17" s="322"/>
      <c r="R17" s="322"/>
      <c r="S17" s="322"/>
      <c r="T17" s="322"/>
    </row>
    <row r="18" spans="1:20" ht="21" customHeight="1">
      <c r="A18" s="545"/>
      <c r="B18" s="1877"/>
      <c r="C18" s="1877"/>
      <c r="D18" s="1878"/>
      <c r="E18" s="601"/>
      <c r="F18" s="686"/>
      <c r="G18" s="601"/>
      <c r="H18" s="601"/>
      <c r="I18" s="623"/>
      <c r="J18" s="601"/>
      <c r="K18" s="601"/>
      <c r="L18" s="700"/>
      <c r="N18" s="322"/>
      <c r="O18" s="322"/>
      <c r="P18" s="322"/>
      <c r="Q18" s="322"/>
      <c r="R18" s="322"/>
      <c r="S18" s="322"/>
      <c r="T18" s="322"/>
    </row>
    <row r="19" spans="1:20" ht="21" customHeight="1">
      <c r="B19" s="1877"/>
      <c r="C19" s="1877"/>
      <c r="D19" s="1878"/>
      <c r="E19" s="601"/>
      <c r="F19" s="686"/>
      <c r="G19" s="601"/>
      <c r="H19" s="601"/>
      <c r="I19" s="623"/>
      <c r="J19" s="601"/>
      <c r="K19" s="601"/>
      <c r="L19" s="700"/>
      <c r="N19" s="322"/>
      <c r="O19" s="322"/>
      <c r="P19" s="322"/>
      <c r="Q19" s="322"/>
      <c r="R19" s="322"/>
      <c r="S19" s="322"/>
      <c r="T19" s="322"/>
    </row>
    <row r="20" spans="1:20" ht="21" customHeight="1">
      <c r="B20" s="1877"/>
      <c r="C20" s="1877"/>
      <c r="D20" s="1878"/>
      <c r="E20" s="601"/>
      <c r="F20" s="686"/>
      <c r="G20" s="601"/>
      <c r="H20" s="601"/>
      <c r="I20" s="623"/>
      <c r="J20" s="601"/>
      <c r="K20" s="601"/>
      <c r="L20" s="700"/>
      <c r="N20" s="322"/>
      <c r="O20" s="322"/>
      <c r="P20" s="322"/>
      <c r="Q20" s="322"/>
      <c r="R20" s="322"/>
      <c r="S20" s="322"/>
      <c r="T20" s="322"/>
    </row>
    <row r="21" spans="1:20" ht="21" customHeight="1">
      <c r="B21" s="1877"/>
      <c r="C21" s="1877"/>
      <c r="D21" s="1878"/>
      <c r="E21" s="601"/>
      <c r="F21" s="686"/>
      <c r="G21" s="601"/>
      <c r="H21" s="601"/>
      <c r="I21" s="623"/>
      <c r="J21" s="601"/>
      <c r="K21" s="601"/>
      <c r="L21" s="700"/>
      <c r="N21" s="322"/>
      <c r="O21" s="322"/>
      <c r="P21" s="322"/>
      <c r="Q21" s="322"/>
      <c r="R21" s="322"/>
      <c r="S21" s="322"/>
      <c r="T21" s="322"/>
    </row>
    <row r="22" spans="1:20" ht="21" customHeight="1">
      <c r="B22" s="1877"/>
      <c r="C22" s="1877"/>
      <c r="D22" s="1878"/>
      <c r="E22" s="601"/>
      <c r="F22" s="686"/>
      <c r="G22" s="601"/>
      <c r="H22" s="601"/>
      <c r="I22" s="623"/>
      <c r="J22" s="601"/>
      <c r="K22" s="601"/>
      <c r="L22" s="700"/>
      <c r="N22" s="322"/>
      <c r="O22" s="322"/>
      <c r="P22" s="322"/>
      <c r="Q22" s="322"/>
      <c r="R22" s="322"/>
      <c r="S22" s="322"/>
      <c r="T22" s="322"/>
    </row>
    <row r="23" spans="1:20" ht="21" customHeight="1" thickBot="1">
      <c r="B23" s="1258"/>
      <c r="C23" s="1419"/>
      <c r="D23" s="1420"/>
      <c r="E23" s="1367">
        <f>SUM(E9:E22)</f>
        <v>0</v>
      </c>
      <c r="F23" s="1421"/>
      <c r="G23" s="1367">
        <f>SUM(G9:G22)</f>
        <v>0</v>
      </c>
      <c r="H23" s="1367"/>
      <c r="I23" s="1367"/>
      <c r="J23" s="1367">
        <f>SUM(J9:J22)</f>
        <v>0</v>
      </c>
      <c r="K23" s="1367">
        <f>SUM(K9:K22)</f>
        <v>0</v>
      </c>
      <c r="L23" s="1422"/>
      <c r="N23" s="322"/>
      <c r="O23" s="322"/>
      <c r="P23" s="322"/>
      <c r="Q23" s="322"/>
      <c r="R23" s="322"/>
      <c r="S23" s="322"/>
      <c r="T23" s="322"/>
    </row>
    <row r="24" spans="1:20" ht="13.5" customHeight="1" thickTop="1">
      <c r="B24" s="1368" t="s">
        <v>44</v>
      </c>
      <c r="C24" s="1369"/>
      <c r="D24" s="1370"/>
      <c r="E24" s="1148"/>
      <c r="F24" s="1148"/>
      <c r="G24" s="1148"/>
      <c r="H24" s="1148"/>
      <c r="I24" s="1148"/>
      <c r="J24" s="1371"/>
      <c r="K24" s="1371"/>
      <c r="L24" s="1148"/>
    </row>
    <row r="25" spans="1:20" ht="13.5" customHeight="1">
      <c r="B25" s="1368" t="s">
        <v>694</v>
      </c>
      <c r="C25" s="1369"/>
      <c r="D25" s="1370"/>
      <c r="E25" s="1148"/>
      <c r="F25" s="1148"/>
      <c r="G25" s="1148"/>
      <c r="H25" s="1148"/>
      <c r="I25" s="1148"/>
      <c r="J25" s="1148"/>
      <c r="K25" s="1148"/>
      <c r="L25" s="1148"/>
    </row>
    <row r="26" spans="1:20" ht="13.5" customHeight="1">
      <c r="B26" s="1368"/>
      <c r="C26" s="1369"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370"/>
      <c r="E26" s="1148"/>
      <c r="F26" s="1148"/>
      <c r="G26" s="1148"/>
      <c r="H26" s="1148"/>
      <c r="I26" s="1148"/>
      <c r="J26" s="1148"/>
      <c r="K26" s="1148"/>
      <c r="L26" s="1148"/>
    </row>
    <row r="27" spans="1:20" ht="13.5" customHeight="1">
      <c r="B27" s="1368"/>
      <c r="C27" s="1369"/>
      <c r="D27" s="1372" t="s">
        <v>644</v>
      </c>
      <c r="E27" s="1148"/>
      <c r="F27" s="1148"/>
      <c r="G27" s="1148"/>
      <c r="H27" s="1148"/>
      <c r="I27" s="1148"/>
      <c r="J27" s="1148"/>
      <c r="K27" s="1148"/>
      <c r="L27" s="1148"/>
    </row>
    <row r="28" spans="1:20" ht="13.5" customHeight="1">
      <c r="B28" s="1368"/>
      <c r="C28" s="1369" t="s">
        <v>394</v>
      </c>
      <c r="D28" s="1370"/>
      <c r="E28" s="1148"/>
      <c r="F28" s="1148"/>
      <c r="G28" s="1148"/>
      <c r="H28" s="1148"/>
      <c r="I28" s="1148"/>
      <c r="J28" s="1373"/>
      <c r="K28" s="1148"/>
      <c r="L28" s="1148"/>
    </row>
    <row r="29" spans="1:20">
      <c r="B29" s="541"/>
      <c r="C29" s="411"/>
      <c r="D29" s="411"/>
    </row>
  </sheetData>
  <sheetProtection algorithmName="SHA-512" hashValue="fEVqeI2l1fYzDFPtft/t0Ntj1b5Qyw1qKwUUPAIxcQhyymhuoI5SOflyOIicv8YtkpT+2KGg9Yj1NIE5gGywTQ==" saltValue="C0FpYEdtLX7E7G8lkOYbg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2">
    <tabColor theme="7" tint="0.39997558519241921"/>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9" t="str">
        <f>"SCHEDULE  OF  CAPITAL  LEASE  PROGRAM  OBLIGATIONS "&amp;UPPER('KEY INPUTS'!D56)&amp;"  UTILITY"</f>
        <v>SCHEDULE  OF  CAPITAL  LEASE  PROGRAM  OBLIGATIONS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944"/>
      <c r="C4" s="1944"/>
      <c r="D4" s="1944"/>
      <c r="E4" s="1944"/>
      <c r="F4" s="1945"/>
      <c r="G4" s="1365"/>
      <c r="H4" s="1144"/>
      <c r="I4" s="1269"/>
    </row>
    <row r="5" spans="1:18" ht="13.5" customHeight="1">
      <c r="B5" s="1148"/>
      <c r="C5" s="1148"/>
      <c r="D5" s="1148"/>
      <c r="E5" s="1143"/>
      <c r="F5" s="1143"/>
      <c r="G5" s="1153" t="s">
        <v>533</v>
      </c>
      <c r="H5" s="1946" t="str">
        <f>'KEY INPUTS'!D34+1&amp;" Budget Requirements"</f>
        <v>2020 Budget Requirements</v>
      </c>
      <c r="I5" s="1947"/>
      <c r="J5" s="776"/>
    </row>
    <row r="6" spans="1:18" ht="13.5" customHeight="1">
      <c r="B6" s="1148"/>
      <c r="C6" s="1788" t="s">
        <v>532</v>
      </c>
      <c r="D6" s="1788"/>
      <c r="E6" s="1143"/>
      <c r="F6" s="1143"/>
      <c r="G6" s="1153" t="s">
        <v>549</v>
      </c>
      <c r="H6" s="1948"/>
      <c r="I6" s="1949"/>
      <c r="J6" s="776"/>
    </row>
    <row r="7" spans="1:18" ht="13.5" customHeight="1">
      <c r="B7" s="1148"/>
      <c r="C7" s="1148"/>
      <c r="D7" s="1148"/>
      <c r="E7" s="1143"/>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875"/>
      <c r="C9" s="1875"/>
      <c r="D9" s="1875"/>
      <c r="E9" s="1875"/>
      <c r="F9" s="1876"/>
      <c r="G9" s="803"/>
      <c r="H9" s="605"/>
      <c r="I9" s="804"/>
      <c r="L9" s="377"/>
      <c r="M9" s="322"/>
      <c r="N9" s="322"/>
      <c r="O9" s="322"/>
      <c r="P9" s="322"/>
      <c r="Q9" s="322"/>
      <c r="R9" s="322"/>
    </row>
    <row r="10" spans="1:18" ht="21" customHeight="1">
      <c r="B10" s="1877"/>
      <c r="C10" s="1877"/>
      <c r="D10" s="1877"/>
      <c r="E10" s="1877"/>
      <c r="F10" s="1878"/>
      <c r="G10" s="631"/>
      <c r="H10" s="601"/>
      <c r="I10" s="602"/>
      <c r="L10" s="322"/>
      <c r="M10" s="322"/>
      <c r="N10" s="322"/>
      <c r="O10" s="322"/>
      <c r="P10" s="322"/>
      <c r="Q10" s="322"/>
      <c r="R10" s="322"/>
    </row>
    <row r="11" spans="1:18" ht="21" customHeight="1">
      <c r="B11" s="1877"/>
      <c r="C11" s="1877"/>
      <c r="D11" s="1877"/>
      <c r="E11" s="1877"/>
      <c r="F11" s="1878"/>
      <c r="G11" s="631"/>
      <c r="H11" s="601"/>
      <c r="I11" s="602"/>
      <c r="L11" s="322"/>
      <c r="M11" s="322"/>
      <c r="N11" s="322"/>
      <c r="O11" s="322"/>
      <c r="P11" s="322"/>
      <c r="Q11" s="322"/>
      <c r="R11" s="322"/>
    </row>
    <row r="12" spans="1:18" ht="21" customHeight="1">
      <c r="B12" s="1877"/>
      <c r="C12" s="1877"/>
      <c r="D12" s="1877"/>
      <c r="E12" s="1877"/>
      <c r="F12" s="1878"/>
      <c r="G12" s="631"/>
      <c r="H12" s="601"/>
      <c r="I12" s="602"/>
      <c r="L12" s="322"/>
      <c r="M12" s="322"/>
      <c r="N12" s="322"/>
      <c r="O12" s="322"/>
      <c r="P12" s="322"/>
      <c r="Q12" s="322"/>
      <c r="R12" s="322"/>
    </row>
    <row r="13" spans="1:18" ht="21" customHeight="1">
      <c r="B13" s="1877"/>
      <c r="C13" s="1877"/>
      <c r="D13" s="1877"/>
      <c r="E13" s="1877"/>
      <c r="F13" s="1878"/>
      <c r="G13" s="631"/>
      <c r="H13" s="601"/>
      <c r="I13" s="602"/>
      <c r="L13" s="322"/>
      <c r="M13" s="322"/>
      <c r="N13" s="322"/>
      <c r="O13" s="322"/>
      <c r="P13" s="322"/>
      <c r="Q13" s="322"/>
      <c r="R13" s="322"/>
    </row>
    <row r="14" spans="1:18" ht="21" customHeight="1">
      <c r="B14" s="1877"/>
      <c r="C14" s="1877"/>
      <c r="D14" s="1877"/>
      <c r="E14" s="1877"/>
      <c r="F14" s="1878"/>
      <c r="G14" s="632"/>
      <c r="H14" s="601"/>
      <c r="I14" s="602"/>
      <c r="L14" s="322"/>
      <c r="M14" s="322"/>
      <c r="N14" s="322"/>
      <c r="O14" s="322"/>
      <c r="P14" s="322"/>
      <c r="Q14" s="322"/>
      <c r="R14" s="322"/>
    </row>
    <row r="15" spans="1:18" ht="21" customHeight="1">
      <c r="A15" s="1793" t="s">
        <v>3450</v>
      </c>
      <c r="B15" s="1877"/>
      <c r="C15" s="1877"/>
      <c r="D15" s="1877"/>
      <c r="E15" s="1877"/>
      <c r="F15" s="1878"/>
      <c r="G15" s="631"/>
      <c r="H15" s="601"/>
      <c r="I15" s="602"/>
      <c r="L15" s="322"/>
      <c r="M15" s="322"/>
      <c r="N15" s="322"/>
      <c r="O15" s="322"/>
      <c r="P15" s="322"/>
      <c r="Q15" s="322"/>
      <c r="R15" s="322"/>
    </row>
    <row r="16" spans="1:18" ht="21" customHeight="1">
      <c r="A16" s="1793"/>
      <c r="B16" s="1877"/>
      <c r="C16" s="1877"/>
      <c r="D16" s="1877"/>
      <c r="E16" s="1877"/>
      <c r="F16" s="1878"/>
      <c r="G16" s="631"/>
      <c r="H16" s="601"/>
      <c r="I16" s="602"/>
      <c r="L16" s="322"/>
      <c r="M16" s="322"/>
      <c r="N16" s="322"/>
      <c r="O16" s="322"/>
      <c r="P16" s="322"/>
      <c r="Q16" s="322"/>
      <c r="R16" s="322"/>
    </row>
    <row r="17" spans="1:18" ht="21" customHeight="1">
      <c r="A17" s="1793"/>
      <c r="B17" s="1877"/>
      <c r="C17" s="1877"/>
      <c r="D17" s="1877"/>
      <c r="E17" s="1877"/>
      <c r="F17" s="1878"/>
      <c r="G17" s="631"/>
      <c r="H17" s="601"/>
      <c r="I17" s="602"/>
      <c r="L17" s="322"/>
      <c r="M17" s="322"/>
      <c r="N17" s="322"/>
      <c r="O17" s="322"/>
      <c r="P17" s="322"/>
      <c r="Q17" s="322"/>
      <c r="R17" s="322"/>
    </row>
    <row r="18" spans="1:18" ht="21" customHeight="1">
      <c r="A18" s="545"/>
      <c r="B18" s="1877"/>
      <c r="C18" s="1877"/>
      <c r="D18" s="1877"/>
      <c r="E18" s="1877"/>
      <c r="F18" s="1878"/>
      <c r="G18" s="631"/>
      <c r="H18" s="601"/>
      <c r="I18" s="602"/>
      <c r="L18" s="322"/>
      <c r="M18" s="322"/>
      <c r="N18" s="322"/>
      <c r="O18" s="322"/>
      <c r="P18" s="322"/>
      <c r="Q18" s="322"/>
      <c r="R18" s="322"/>
    </row>
    <row r="19" spans="1:18" ht="21" customHeight="1">
      <c r="B19" s="1877"/>
      <c r="C19" s="1877"/>
      <c r="D19" s="1877"/>
      <c r="E19" s="1877"/>
      <c r="F19" s="1878"/>
      <c r="G19" s="631"/>
      <c r="H19" s="601"/>
      <c r="I19" s="602"/>
      <c r="L19" s="322"/>
      <c r="M19" s="322"/>
      <c r="N19" s="322"/>
      <c r="O19" s="322"/>
      <c r="P19" s="322"/>
      <c r="Q19" s="322"/>
      <c r="R19" s="322"/>
    </row>
    <row r="20" spans="1:18" ht="21" customHeight="1">
      <c r="B20" s="1877"/>
      <c r="C20" s="1877"/>
      <c r="D20" s="1877"/>
      <c r="E20" s="1877"/>
      <c r="F20" s="1878"/>
      <c r="G20" s="631"/>
      <c r="H20" s="601"/>
      <c r="I20" s="602"/>
      <c r="L20" s="322"/>
      <c r="M20" s="322"/>
      <c r="N20" s="322"/>
      <c r="O20" s="322"/>
      <c r="P20" s="322"/>
      <c r="Q20" s="322"/>
      <c r="R20" s="322"/>
    </row>
    <row r="21" spans="1:18" ht="21" customHeight="1">
      <c r="B21" s="1877"/>
      <c r="C21" s="1877"/>
      <c r="D21" s="1877"/>
      <c r="E21" s="1877"/>
      <c r="F21" s="1878"/>
      <c r="G21" s="631"/>
      <c r="H21" s="601"/>
      <c r="I21" s="602"/>
      <c r="L21" s="322"/>
      <c r="M21" s="322"/>
      <c r="N21" s="322"/>
      <c r="O21" s="322"/>
      <c r="P21" s="322"/>
      <c r="Q21" s="322"/>
      <c r="R21" s="322"/>
    </row>
    <row r="22" spans="1:18" ht="21" customHeight="1" thickBot="1">
      <c r="B22" s="1877"/>
      <c r="C22" s="1877"/>
      <c r="D22" s="1877"/>
      <c r="E22" s="1877"/>
      <c r="F22" s="1878"/>
      <c r="G22" s="633"/>
      <c r="H22" s="627"/>
      <c r="I22" s="634"/>
      <c r="L22" s="322"/>
      <c r="M22" s="322"/>
      <c r="N22" s="322"/>
      <c r="O22" s="322"/>
      <c r="P22" s="322"/>
      <c r="Q22" s="322"/>
      <c r="R22" s="322"/>
    </row>
    <row r="23" spans="1:18" ht="21" customHeight="1" thickTop="1" thickBot="1">
      <c r="B23" s="1258"/>
      <c r="C23" s="1164"/>
      <c r="D23" s="1375" t="s">
        <v>174</v>
      </c>
      <c r="E23" s="1061"/>
      <c r="F23" s="1275"/>
      <c r="G23" s="1376">
        <f>SUM(G9:G22)</f>
        <v>0</v>
      </c>
      <c r="H23" s="1085">
        <f>SUM(H9:H22)</f>
        <v>0</v>
      </c>
      <c r="I23" s="1163">
        <f>SUM(I9:I22)</f>
        <v>0</v>
      </c>
      <c r="L23" s="322"/>
      <c r="M23" s="322"/>
      <c r="N23" s="322"/>
      <c r="O23" s="322"/>
      <c r="P23" s="322"/>
      <c r="Q23" s="322"/>
      <c r="R23" s="322"/>
    </row>
    <row r="24" spans="1:18" ht="13.5" customHeight="1" thickTop="1">
      <c r="B24" s="805"/>
      <c r="C24" s="411"/>
      <c r="D24" s="806"/>
      <c r="H24" s="504"/>
      <c r="I24" s="504"/>
    </row>
    <row r="25" spans="1:18" ht="13.5" customHeight="1">
      <c r="B25" s="805"/>
      <c r="C25" s="411"/>
      <c r="D25" s="806"/>
    </row>
    <row r="26" spans="1:18" ht="13.5" customHeight="1">
      <c r="B26" s="805"/>
      <c r="C26" s="411"/>
      <c r="D26" s="806"/>
      <c r="H26" s="802"/>
    </row>
    <row r="27" spans="1:18">
      <c r="B27" s="541"/>
      <c r="C27" s="411"/>
      <c r="D27" s="411"/>
    </row>
  </sheetData>
  <sheetProtection algorithmName="SHA-512" hashValue="hjJz/HPTxxm8IowYodmgbeoj6/3vNVo+q6viW0UIxMo38Onhw07J2E86F0wOeqs6wjG/k93EB2zVI7kv5JZgKQ==" saltValue="/39auJkSAY5JBIyLRSb0n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3">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INPUTS'!D56)&amp;"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AuLIV8wdsOCCwg96bh0g47BGCRuD4qwn8bPuJPRCwLxbm/NW/VKhWs2NCAfSBhkg2xnR4tbBY5ro+3M1wRCV2w==" saltValue="fUSMZPOk8CHhOWoLTAOjw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4">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INPUTS'!D56)&amp;"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435">
        <f>+'52-Utility5'!E27</f>
        <v>0</v>
      </c>
      <c r="F9" s="1435">
        <f>+'52-Utility5'!F27</f>
        <v>0</v>
      </c>
      <c r="G9" s="1435">
        <f>+'52-Utility5'!G27</f>
        <v>0</v>
      </c>
      <c r="H9" s="1435">
        <f>+'52-Utility5'!H27</f>
        <v>0</v>
      </c>
      <c r="I9" s="1435">
        <f>+'52-Utility5'!I27</f>
        <v>0</v>
      </c>
      <c r="J9" s="1435">
        <f>+'52-Utility5'!J27</f>
        <v>0</v>
      </c>
      <c r="K9" s="1435">
        <f>+'52-Utility5'!K27</f>
        <v>0</v>
      </c>
      <c r="L9" s="1436">
        <f>+'52-Utility5'!L27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Zb2akjOV1gYQo3Dut36gl10eBziljMR65qDe/RWTPGNMRTqPRI/wyQIV4BsD5xgFRlGiPisF4F7Dgi7Qh7wFIQ==" saltValue="Mpd9K99zgoEh0uXkSXx9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5">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INPUTS'!D56)&amp;"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435">
        <f>+'52.1-Utility5'!E27</f>
        <v>0</v>
      </c>
      <c r="F9" s="1435">
        <f>+'52.1-Utility5'!F27</f>
        <v>0</v>
      </c>
      <c r="G9" s="1435">
        <f>+'52.1-Utility5'!G27</f>
        <v>0</v>
      </c>
      <c r="H9" s="1435">
        <f>+'52.1-Utility5'!H27</f>
        <v>0</v>
      </c>
      <c r="I9" s="1435">
        <f>+'52.1-Utility5'!I27</f>
        <v>0</v>
      </c>
      <c r="J9" s="1435">
        <f>+'52.1-Utility5'!J27</f>
        <v>0</v>
      </c>
      <c r="K9" s="1435">
        <f>+'52.1-Utility5'!K27</f>
        <v>0</v>
      </c>
      <c r="L9" s="1436">
        <f>+'52.1-Utility5'!L27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D1VAjPmMiP0ZbsM1quyQYnXBMarH635NKVFy95LAHaGKAqofYZdxYe0HrubZrFOUQI96WIj81EW5QcniRlJ6AA==" saltValue="Wf4rV3N7BSq+N6TZbi6k6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6">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INPUTS'!D56)&amp;"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435">
        <f>+'52.2-Utility5'!E27</f>
        <v>0</v>
      </c>
      <c r="F9" s="1435">
        <f>+'52.2-Utility5'!F27</f>
        <v>0</v>
      </c>
      <c r="G9" s="1435">
        <f>+'52.2-Utility5'!G27</f>
        <v>0</v>
      </c>
      <c r="H9" s="1435">
        <f>+'52.2-Utility5'!H27</f>
        <v>0</v>
      </c>
      <c r="I9" s="1435">
        <f>+'52.2-Utility5'!I27</f>
        <v>0</v>
      </c>
      <c r="J9" s="1435">
        <f>+'52.2-Utility5'!J27</f>
        <v>0</v>
      </c>
      <c r="K9" s="1435">
        <f>+'52.2-Utility5'!K27</f>
        <v>0</v>
      </c>
      <c r="L9" s="1436">
        <f>+'52.2-Utility5'!L27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3657</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uc66j3wH2D+Lv1anxVzNv0QzjJjqtFVTTVR8FygfCr6X8w8VxLPjJ2ag9J2MOyxA5CeOSGgAGpUBx6UjSIllcQ==" saltValue="UV/mmV/paY0BZcjKOUhYd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7">
    <tabColor theme="7" tint="0.39997558519241921"/>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INPUTS'!D56)&amp;"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873"/>
      <c r="C4" s="1873"/>
      <c r="D4" s="1874"/>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278"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435">
        <f>+'52.3-Utility5'!E27</f>
        <v>0</v>
      </c>
      <c r="F9" s="1435">
        <f>+'52.3-Utility5'!F27</f>
        <v>0</v>
      </c>
      <c r="G9" s="1435">
        <f>+'52.3-Utility5'!G27</f>
        <v>0</v>
      </c>
      <c r="H9" s="1435">
        <f>+'52.3-Utility5'!H27</f>
        <v>0</v>
      </c>
      <c r="I9" s="1435">
        <f>+'52.3-Utility5'!I27</f>
        <v>0</v>
      </c>
      <c r="J9" s="1435">
        <f>+'52.3-Utility5'!J27</f>
        <v>0</v>
      </c>
      <c r="K9" s="1435">
        <f>+'52.3-Utility5'!K27</f>
        <v>0</v>
      </c>
      <c r="L9" s="1436">
        <f>+'52.3-Utility5'!L27</f>
        <v>0</v>
      </c>
      <c r="O9" s="322"/>
      <c r="P9" s="322"/>
      <c r="Q9" s="322"/>
      <c r="R9" s="322"/>
      <c r="S9" s="322"/>
      <c r="T9" s="322"/>
      <c r="U9" s="322"/>
    </row>
    <row r="10" spans="2:21" ht="21" customHeight="1">
      <c r="B10" s="703"/>
      <c r="C10" s="704"/>
      <c r="D10" s="652"/>
      <c r="E10" s="601"/>
      <c r="F10" s="601"/>
      <c r="G10" s="601"/>
      <c r="H10" s="601"/>
      <c r="I10" s="575"/>
      <c r="J10" s="601"/>
      <c r="K10" s="602"/>
      <c r="L10" s="602"/>
      <c r="O10" s="377"/>
      <c r="P10" s="322"/>
      <c r="Q10" s="322"/>
      <c r="R10" s="322"/>
      <c r="S10" s="322"/>
      <c r="T10" s="322"/>
      <c r="U10" s="322"/>
    </row>
    <row r="11" spans="2:21" ht="21" customHeight="1">
      <c r="B11" s="705"/>
      <c r="C11" s="704"/>
      <c r="D11" s="652"/>
      <c r="E11" s="601"/>
      <c r="F11" s="601"/>
      <c r="G11" s="601"/>
      <c r="H11" s="601"/>
      <c r="I11" s="601"/>
      <c r="J11" s="601"/>
      <c r="K11" s="602"/>
      <c r="L11" s="602"/>
      <c r="O11" s="322"/>
      <c r="P11" s="322"/>
      <c r="Q11" s="322"/>
      <c r="R11" s="322"/>
      <c r="S11" s="322"/>
      <c r="T11" s="322"/>
      <c r="U11" s="322"/>
    </row>
    <row r="12" spans="2:21" ht="21" customHeight="1">
      <c r="B12" s="705"/>
      <c r="C12" s="704"/>
      <c r="D12" s="652"/>
      <c r="E12" s="601"/>
      <c r="F12" s="601"/>
      <c r="G12" s="601"/>
      <c r="H12" s="601"/>
      <c r="I12" s="374"/>
      <c r="J12" s="601"/>
      <c r="K12" s="602"/>
      <c r="L12" s="602"/>
      <c r="O12" s="322"/>
      <c r="P12" s="322"/>
      <c r="Q12" s="322"/>
      <c r="R12" s="322"/>
      <c r="S12" s="322"/>
      <c r="T12" s="322"/>
      <c r="U12" s="322"/>
    </row>
    <row r="13" spans="2:21" ht="21" customHeight="1">
      <c r="B13" s="705"/>
      <c r="C13" s="704"/>
      <c r="D13" s="652"/>
      <c r="E13" s="601"/>
      <c r="F13" s="601"/>
      <c r="G13" s="601"/>
      <c r="H13" s="601"/>
      <c r="I13" s="575"/>
      <c r="J13" s="601"/>
      <c r="K13" s="602"/>
      <c r="L13" s="701"/>
      <c r="O13" s="322"/>
      <c r="P13" s="322"/>
      <c r="Q13" s="322"/>
      <c r="R13" s="322"/>
      <c r="S13" s="322"/>
      <c r="T13" s="322"/>
      <c r="U13" s="322"/>
    </row>
    <row r="14" spans="2:21" ht="21" customHeight="1">
      <c r="B14" s="703"/>
      <c r="C14" s="704"/>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3658</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3659</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378"/>
      <c r="C28" s="1379" t="s">
        <v>663</v>
      </c>
      <c r="D28" s="1380"/>
      <c r="E28" s="1264"/>
      <c r="F28" s="1264"/>
      <c r="G28" s="1264"/>
      <c r="H28" s="1264"/>
      <c r="I28" s="1264"/>
      <c r="J28" s="1264"/>
      <c r="K28" s="1265"/>
      <c r="L28" s="1265"/>
    </row>
    <row r="42" spans="11:12">
      <c r="K42" s="331" t="s">
        <v>3495</v>
      </c>
      <c r="L42" s="553">
        <f>K27+L27</f>
        <v>0</v>
      </c>
    </row>
  </sheetData>
  <sheetProtection algorithmName="SHA-512" hashValue="T3HejEaSDvDuOwywcqoYpafUmSPq7jx12dxtLXa9Yar3f3bnxHV04KDLrdjU3wPB+TNhfZsqTOJygEQlD6WGBg==" saltValue="96boL6V9MUlOQEpRRgn/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8">
    <tabColor theme="7" tint="0.39997558519241921"/>
  </sheetPr>
  <dimension ref="B3: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760" t="str">
        <f>UPPER('KEY INPUTS'!D$56)&amp;" UTILITY  CAPITAL  FUND"</f>
        <v xml:space="preserve"> UTILITY  CAPITAL  FUND</v>
      </c>
      <c r="C3" s="1760"/>
      <c r="D3" s="1760"/>
      <c r="E3" s="1760"/>
      <c r="F3" s="1760"/>
      <c r="G3" s="1760"/>
      <c r="H3" s="1760"/>
      <c r="I3" s="1760"/>
      <c r="J3" s="1760"/>
    </row>
    <row r="4" spans="2:19">
      <c r="B4" s="1148"/>
      <c r="C4" s="1148"/>
      <c r="D4" s="1148"/>
      <c r="E4" s="1148"/>
      <c r="F4" s="1148"/>
      <c r="G4" s="1148"/>
      <c r="H4" s="1148"/>
      <c r="I4" s="1148"/>
      <c r="J4" s="1148"/>
    </row>
    <row r="5" spans="2:19" ht="15.6">
      <c r="B5" s="1784" t="s">
        <v>668</v>
      </c>
      <c r="C5" s="1784"/>
      <c r="D5" s="1784"/>
      <c r="E5" s="1784"/>
      <c r="F5" s="1784"/>
      <c r="G5" s="1784"/>
      <c r="H5" s="1784"/>
      <c r="I5" s="1784"/>
      <c r="J5" s="1784"/>
    </row>
    <row r="6" spans="2:19" ht="13.8" thickBot="1">
      <c r="B6" s="1148"/>
      <c r="C6" s="1148"/>
      <c r="D6" s="1148"/>
      <c r="E6" s="1148"/>
      <c r="F6" s="1148"/>
      <c r="G6" s="1148"/>
      <c r="H6" s="1148"/>
      <c r="I6" s="1148"/>
      <c r="J6" s="1148"/>
    </row>
    <row r="7" spans="2:19" ht="28.5" customHeight="1" thickTop="1" thickBot="1">
      <c r="B7" s="1390"/>
      <c r="C7" s="1390"/>
      <c r="D7" s="1390"/>
      <c r="E7" s="1390"/>
      <c r="F7" s="1390"/>
      <c r="G7" s="1390"/>
      <c r="H7" s="1390"/>
      <c r="I7" s="1136" t="s">
        <v>125</v>
      </c>
      <c r="J7" s="1137" t="s">
        <v>126</v>
      </c>
    </row>
    <row r="8" spans="2:19" ht="21" customHeight="1" thickTop="1">
      <c r="B8" s="1160" t="str">
        <f>'KEY INPUTS'!D25</f>
        <v>Balance - January 1, 2019</v>
      </c>
      <c r="C8" s="1160"/>
      <c r="D8" s="1160"/>
      <c r="E8" s="1160"/>
      <c r="F8" s="1160"/>
      <c r="G8" s="1160"/>
      <c r="H8" s="1402"/>
      <c r="I8" s="1090" t="s">
        <v>788</v>
      </c>
      <c r="J8" s="639"/>
    </row>
    <row r="9" spans="2:19" ht="21" customHeight="1">
      <c r="B9" s="1141" t="str">
        <f>"Received from "&amp;'KEY INPUTS'!D34&amp;" Budget Appropriation"</f>
        <v>Received from 2019 Budget Appropriation</v>
      </c>
      <c r="C9" s="1141"/>
      <c r="D9" s="1141"/>
      <c r="E9" s="1141"/>
      <c r="F9" s="1141"/>
      <c r="G9" s="1141"/>
      <c r="H9" s="1403"/>
      <c r="I9" s="975" t="s">
        <v>788</v>
      </c>
      <c r="J9" s="609"/>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1404" t="s">
        <v>224</v>
      </c>
      <c r="C11" s="1405"/>
      <c r="D11" s="1405"/>
      <c r="E11" s="1405"/>
      <c r="F11" s="1405"/>
      <c r="G11" s="1405"/>
      <c r="H11" s="1406"/>
      <c r="I11" s="1907" t="s">
        <v>788</v>
      </c>
      <c r="J11" s="1905"/>
      <c r="M11" s="377"/>
      <c r="N11" s="322"/>
      <c r="O11" s="322"/>
      <c r="P11" s="322"/>
      <c r="Q11" s="322"/>
      <c r="R11" s="322"/>
      <c r="S11" s="322"/>
    </row>
    <row r="12" spans="2:19" ht="12.75" customHeight="1">
      <c r="B12" s="1393"/>
      <c r="C12" s="1407" t="s">
        <v>225</v>
      </c>
      <c r="D12" s="1393"/>
      <c r="E12" s="1393"/>
      <c r="F12" s="1393"/>
      <c r="G12" s="1393"/>
      <c r="H12" s="140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1141" t="s">
        <v>229</v>
      </c>
      <c r="C22" s="1141"/>
      <c r="D22" s="1141"/>
      <c r="E22" s="1141"/>
      <c r="F22" s="1141"/>
      <c r="G22" s="1141"/>
      <c r="H22" s="1403"/>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1141" t="str">
        <f>'KEY INPUTS'!D26</f>
        <v>Balance - December 31, 2019</v>
      </c>
      <c r="C24" s="1141"/>
      <c r="D24" s="1141"/>
      <c r="E24" s="1141"/>
      <c r="F24" s="1141"/>
      <c r="G24" s="1141"/>
      <c r="H24" s="1403"/>
      <c r="I24" s="1108">
        <f>+SUM(J8:J13)-SUM(I13:I23)</f>
        <v>0</v>
      </c>
      <c r="J24" s="1106" t="s">
        <v>788</v>
      </c>
      <c r="M24" s="322"/>
      <c r="N24" s="322"/>
      <c r="O24" s="322"/>
      <c r="P24" s="322"/>
      <c r="Q24" s="322"/>
      <c r="R24" s="322"/>
      <c r="S24" s="322"/>
    </row>
    <row r="25" spans="2:19" ht="21" customHeight="1" thickTop="1" thickBot="1">
      <c r="B25" s="1148"/>
      <c r="C25" s="1148"/>
      <c r="D25" s="1148"/>
      <c r="E25" s="1148"/>
      <c r="F25" s="1148"/>
      <c r="G25" s="1148"/>
      <c r="H25" s="1148"/>
      <c r="I25" s="1063">
        <f>SUM(I8:I24)</f>
        <v>0</v>
      </c>
      <c r="J25" s="1109">
        <f>SUM(J8:J24)</f>
        <v>0</v>
      </c>
      <c r="M25" s="322"/>
      <c r="N25" s="322"/>
      <c r="O25" s="322"/>
      <c r="P25" s="322"/>
      <c r="Q25" s="322"/>
      <c r="R25" s="322"/>
      <c r="S25" s="322"/>
    </row>
    <row r="26" spans="2:19" ht="13.8" thickTop="1">
      <c r="B26" s="1148"/>
      <c r="C26" s="1148"/>
      <c r="D26" s="1148"/>
      <c r="E26" s="1148"/>
      <c r="F26" s="1148"/>
      <c r="G26" s="1148"/>
      <c r="H26" s="1148"/>
      <c r="I26" s="1148"/>
      <c r="J26" s="1148"/>
    </row>
    <row r="27" spans="2:19">
      <c r="B27" s="1148"/>
      <c r="C27" s="1148"/>
      <c r="D27" s="1148"/>
      <c r="E27" s="1148"/>
      <c r="F27" s="1148"/>
      <c r="G27" s="1148"/>
      <c r="H27" s="1148"/>
      <c r="I27" s="1148"/>
      <c r="J27" s="1148"/>
    </row>
    <row r="28" spans="2:19">
      <c r="B28" s="1148"/>
      <c r="C28" s="1148"/>
      <c r="D28" s="1148"/>
      <c r="E28" s="1148"/>
      <c r="F28" s="1148"/>
      <c r="G28" s="1148"/>
      <c r="H28" s="1148"/>
      <c r="I28" s="1148"/>
      <c r="J28" s="1148"/>
    </row>
    <row r="29" spans="2:19">
      <c r="B29" s="1148"/>
      <c r="C29" s="1148"/>
      <c r="D29" s="1148"/>
      <c r="E29" s="1148"/>
      <c r="F29" s="1148"/>
      <c r="G29" s="1148"/>
      <c r="H29" s="1148"/>
      <c r="I29" s="1148"/>
      <c r="J29" s="1148"/>
    </row>
    <row r="30" spans="2:19" ht="22.8">
      <c r="B30" s="1760" t="str">
        <f>UPPER('KEY INPUTS'!D$56)&amp;" UTILITY  CAPITAL  FUND"</f>
        <v xml:space="preserve"> UTILITY  CAPITAL  FUND</v>
      </c>
      <c r="C30" s="1760"/>
      <c r="D30" s="1760"/>
      <c r="E30" s="1760"/>
      <c r="F30" s="1760"/>
      <c r="G30" s="1760"/>
      <c r="H30" s="1760"/>
      <c r="I30" s="1760"/>
      <c r="J30" s="1760"/>
    </row>
    <row r="31" spans="2:19" ht="7.5" customHeight="1">
      <c r="B31" s="1148"/>
      <c r="C31" s="1148"/>
      <c r="D31" s="1148"/>
      <c r="E31" s="1148"/>
      <c r="F31" s="1148"/>
      <c r="G31" s="1148"/>
      <c r="H31" s="1148"/>
      <c r="I31" s="1148"/>
      <c r="J31" s="1148"/>
    </row>
    <row r="32" spans="2:19" ht="15.6">
      <c r="B32" s="1784" t="s">
        <v>234</v>
      </c>
      <c r="C32" s="1784"/>
      <c r="D32" s="1784"/>
      <c r="E32" s="1784"/>
      <c r="F32" s="1784"/>
      <c r="G32" s="1784"/>
      <c r="H32" s="1784"/>
      <c r="I32" s="1784"/>
      <c r="J32" s="1784"/>
    </row>
    <row r="33" spans="2:10" ht="13.8" thickBot="1">
      <c r="B33" s="1148"/>
      <c r="C33" s="1148"/>
      <c r="D33" s="1148"/>
      <c r="E33" s="1148"/>
      <c r="F33" s="1148"/>
      <c r="G33" s="1148"/>
      <c r="H33" s="1148"/>
      <c r="I33" s="1148"/>
      <c r="J33" s="1148"/>
    </row>
    <row r="34" spans="2:10" ht="26.25" customHeight="1" thickTop="1" thickBot="1">
      <c r="B34" s="1390"/>
      <c r="C34" s="1390"/>
      <c r="D34" s="1390"/>
      <c r="E34" s="1390"/>
      <c r="F34" s="1390"/>
      <c r="G34" s="1390"/>
      <c r="H34" s="1390"/>
      <c r="I34" s="1136" t="s">
        <v>125</v>
      </c>
      <c r="J34" s="1137" t="s">
        <v>126</v>
      </c>
    </row>
    <row r="35" spans="2:10" ht="21" customHeight="1" thickTop="1">
      <c r="B35" s="1160" t="str">
        <f>'KEY INPUTS'!D25</f>
        <v>Balance - January 1, 2019</v>
      </c>
      <c r="C35" s="1160"/>
      <c r="D35" s="1160"/>
      <c r="E35" s="1160"/>
      <c r="F35" s="1160"/>
      <c r="G35" s="1160"/>
      <c r="H35" s="1402"/>
      <c r="I35" s="1090" t="s">
        <v>788</v>
      </c>
      <c r="J35" s="639"/>
    </row>
    <row r="36" spans="2:10" ht="21" customHeight="1">
      <c r="B36" s="1141" t="str">
        <f>"Received from "&amp;TEXT('KEY INPUTS'!D34,"0")&amp;" Budget Appropriation *"</f>
        <v>Received from 2019 Budget Appropriation *</v>
      </c>
      <c r="C36" s="1141"/>
      <c r="D36" s="1141"/>
      <c r="E36" s="1141"/>
      <c r="F36" s="1141"/>
      <c r="G36" s="1141"/>
      <c r="H36" s="1403"/>
      <c r="I36" s="975" t="s">
        <v>788</v>
      </c>
      <c r="J36" s="609"/>
    </row>
    <row r="37" spans="2:10" ht="21" customHeight="1">
      <c r="B37" s="1141" t="str">
        <f>"Received from "&amp;TEXT('KEY INPUTS'!D34,"0")&amp;" Emergency Appropriation *"</f>
        <v>Received from 2019 Emergency Appropriation *</v>
      </c>
      <c r="C37" s="1141"/>
      <c r="D37" s="1141"/>
      <c r="E37" s="1141"/>
      <c r="F37" s="1141"/>
      <c r="G37" s="1141"/>
      <c r="H37" s="1403"/>
      <c r="I37" s="975" t="s">
        <v>788</v>
      </c>
      <c r="J37" s="609"/>
    </row>
    <row r="38" spans="2:10" ht="21" customHeight="1">
      <c r="B38" s="669"/>
      <c r="C38" s="1284"/>
      <c r="D38" s="669"/>
      <c r="E38" s="1393"/>
      <c r="F38" s="1393"/>
      <c r="G38" s="1393"/>
      <c r="H38" s="1393"/>
      <c r="I38" s="684"/>
      <c r="J38" s="376"/>
    </row>
    <row r="39" spans="2:10" ht="21" customHeight="1">
      <c r="B39" s="1141" t="s">
        <v>229</v>
      </c>
      <c r="C39" s="1141"/>
      <c r="D39" s="1141"/>
      <c r="E39" s="1141"/>
      <c r="F39" s="1141"/>
      <c r="G39" s="1141"/>
      <c r="H39" s="1403"/>
      <c r="I39" s="601"/>
      <c r="J39" s="979" t="s">
        <v>788</v>
      </c>
    </row>
    <row r="40" spans="2:10" ht="21" customHeight="1">
      <c r="B40" s="648"/>
      <c r="C40" s="648"/>
      <c r="D40" s="648"/>
      <c r="E40" s="1141"/>
      <c r="F40" s="1141"/>
      <c r="G40" s="1141"/>
      <c r="H40" s="1141"/>
      <c r="I40" s="601"/>
      <c r="J40" s="979" t="s">
        <v>788</v>
      </c>
    </row>
    <row r="41" spans="2:10" ht="21" customHeight="1" thickBot="1">
      <c r="B41" s="1141" t="str">
        <f>'KEY INPUTS'!D26</f>
        <v>Balance - December 31, 2019</v>
      </c>
      <c r="C41" s="1141"/>
      <c r="D41" s="1141"/>
      <c r="E41" s="1141"/>
      <c r="F41" s="1141"/>
      <c r="G41" s="1141"/>
      <c r="H41" s="1403"/>
      <c r="I41" s="1285">
        <f>SUM(J35:J38)-SUM(I38:I40)</f>
        <v>0</v>
      </c>
      <c r="J41" s="1106" t="s">
        <v>788</v>
      </c>
    </row>
    <row r="42" spans="2:10" ht="21" customHeight="1" thickTop="1" thickBot="1">
      <c r="B42" s="1148"/>
      <c r="C42" s="1148"/>
      <c r="D42" s="1148"/>
      <c r="E42" s="1148"/>
      <c r="F42" s="1148"/>
      <c r="G42" s="1148"/>
      <c r="H42" s="1148"/>
      <c r="I42" s="1063">
        <f>SUM(I35:I41)</f>
        <v>0</v>
      </c>
      <c r="J42" s="1109">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7wA1/aF7ElC6AMh8yIBaVUlheTCPwTo5DsVZkhfHzXJvTqE/+l3Wwhajc3zG6j2PFY35gOZa6aOxkOJGecdsjg==" saltValue="gJdTg21J1V7kV0xi/A3XE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3:K51"/>
  <sheetViews>
    <sheetView topLeftCell="A4" zoomScaleNormal="100" workbookViewId="0">
      <selection activeCell="K12" sqref="K12"/>
    </sheetView>
  </sheetViews>
  <sheetFormatPr defaultRowHeight="13.2"/>
  <cols>
    <col min="1" max="1" width="4.6640625" customWidth="1"/>
    <col min="2" max="2" width="4.88671875" customWidth="1"/>
    <col min="3" max="4" width="4.6640625" customWidth="1"/>
    <col min="5" max="5" width="30.6640625" customWidth="1"/>
    <col min="6" max="6" width="15.6640625" customWidth="1"/>
    <col min="7" max="8" width="16.6640625" customWidth="1"/>
    <col min="9" max="9" width="13.5546875" bestFit="1" customWidth="1"/>
    <col min="10" max="10" width="11.88671875" bestFit="1" customWidth="1"/>
    <col min="11" max="11" width="10.33203125" bestFit="1" customWidth="1"/>
  </cols>
  <sheetData>
    <row r="3" spans="2:9" ht="22.8">
      <c r="B3" s="1548" t="s">
        <v>543</v>
      </c>
      <c r="C3" s="1548"/>
      <c r="D3" s="1548"/>
      <c r="E3" s="1548"/>
      <c r="F3" s="1548"/>
      <c r="G3" s="1548"/>
      <c r="H3" s="1548"/>
    </row>
    <row r="4" spans="2:9" ht="22.8">
      <c r="B4" s="1548" t="s">
        <v>249</v>
      </c>
      <c r="C4" s="1548"/>
      <c r="D4" s="1548"/>
      <c r="E4" s="1548"/>
      <c r="F4" s="1548"/>
      <c r="G4" s="1548"/>
      <c r="H4" s="1548"/>
    </row>
    <row r="5" spans="2:9" ht="13.8">
      <c r="B5" s="1577"/>
      <c r="C5" s="1577"/>
      <c r="D5" s="1577"/>
      <c r="E5" s="1577"/>
      <c r="F5" s="1577"/>
      <c r="G5" s="1577"/>
      <c r="H5" s="1577"/>
    </row>
    <row r="6" spans="2:9" ht="15.6">
      <c r="B6" s="1555" t="str">
        <f>'KEY INPUTS'!D44</f>
        <v>AS  AT  DECEMBER  31, 2019</v>
      </c>
      <c r="C6" s="1509"/>
      <c r="D6" s="1509"/>
      <c r="E6" s="1509"/>
      <c r="F6" s="1509"/>
      <c r="G6" s="1509"/>
      <c r="H6" s="1509"/>
    </row>
    <row r="7" spans="2:9" ht="13.8" thickBot="1"/>
    <row r="8" spans="2:9" ht="36" customHeight="1" thickTop="1" thickBot="1">
      <c r="B8" s="1552" t="s">
        <v>124</v>
      </c>
      <c r="C8" s="1552"/>
      <c r="D8" s="1552"/>
      <c r="E8" s="1552"/>
      <c r="F8" s="1553"/>
      <c r="G8" s="726" t="s">
        <v>125</v>
      </c>
      <c r="H8" s="3" t="s">
        <v>126</v>
      </c>
    </row>
    <row r="9" spans="2:9" ht="21" customHeight="1" thickTop="1">
      <c r="B9" s="322" t="s">
        <v>251</v>
      </c>
      <c r="C9" s="322"/>
      <c r="D9" s="322"/>
      <c r="E9" s="322"/>
      <c r="F9" s="322"/>
      <c r="G9" s="872">
        <f>+H10</f>
        <v>11286549</v>
      </c>
      <c r="H9" s="729" t="s">
        <v>788</v>
      </c>
      <c r="I9" s="228"/>
    </row>
    <row r="10" spans="2:9" ht="21" customHeight="1">
      <c r="B10" s="323" t="s">
        <v>252</v>
      </c>
      <c r="C10" s="323"/>
      <c r="D10" s="323"/>
      <c r="E10" s="323"/>
      <c r="F10" s="323"/>
      <c r="G10" s="873" t="s">
        <v>788</v>
      </c>
      <c r="H10" s="728">
        <v>11286549</v>
      </c>
      <c r="I10" s="228"/>
    </row>
    <row r="11" spans="2:9" ht="21" customHeight="1">
      <c r="B11" s="323"/>
      <c r="C11" s="323"/>
      <c r="D11" s="323"/>
      <c r="E11" s="323"/>
      <c r="F11" s="323"/>
      <c r="G11" s="874"/>
      <c r="H11" s="336"/>
    </row>
    <row r="12" spans="2:9" ht="21" customHeight="1">
      <c r="B12" s="323"/>
      <c r="C12" s="323" t="s">
        <v>459</v>
      </c>
      <c r="D12" s="323"/>
      <c r="E12" s="323"/>
      <c r="F12" s="323"/>
      <c r="G12" s="874">
        <f>+'9-Cash Reconciliation'!I15</f>
        <v>5430177.3899999997</v>
      </c>
      <c r="H12" s="728"/>
      <c r="I12" s="744"/>
    </row>
    <row r="13" spans="2:9" ht="21" customHeight="1">
      <c r="B13" s="5"/>
      <c r="C13" s="566"/>
      <c r="D13" s="566"/>
      <c r="E13" s="566"/>
      <c r="F13" s="566"/>
      <c r="G13" s="372"/>
      <c r="H13" s="568"/>
    </row>
    <row r="14" spans="2:9" ht="21" customHeight="1">
      <c r="B14" s="5"/>
      <c r="C14" s="567" t="s">
        <v>3479</v>
      </c>
      <c r="D14" s="566"/>
      <c r="E14" s="566"/>
      <c r="F14" s="566"/>
      <c r="G14" s="591"/>
      <c r="H14" s="568"/>
      <c r="I14" s="228"/>
    </row>
    <row r="15" spans="2:9" ht="21" customHeight="1">
      <c r="B15" s="5"/>
      <c r="C15" s="567" t="s">
        <v>3479</v>
      </c>
      <c r="D15" s="566"/>
      <c r="E15" s="566"/>
      <c r="F15" s="566"/>
      <c r="G15" s="372"/>
      <c r="H15" s="568"/>
      <c r="I15" s="228"/>
    </row>
    <row r="16" spans="2:9" ht="21" customHeight="1">
      <c r="B16" s="5"/>
      <c r="C16" s="648" t="s">
        <v>1155</v>
      </c>
      <c r="D16" s="566"/>
      <c r="E16" s="566"/>
      <c r="F16" s="566"/>
      <c r="G16" s="372">
        <v>1388850</v>
      </c>
      <c r="H16" s="568"/>
      <c r="I16" s="325"/>
    </row>
    <row r="17" spans="2:11" ht="21" customHeight="1">
      <c r="B17" s="5"/>
      <c r="C17" s="5" t="s">
        <v>1004</v>
      </c>
      <c r="D17" s="5"/>
      <c r="E17" s="5"/>
      <c r="F17" s="5"/>
      <c r="G17" s="372"/>
      <c r="H17" s="568"/>
    </row>
    <row r="18" spans="2:11" ht="21" customHeight="1">
      <c r="B18" s="5"/>
      <c r="C18" s="5"/>
      <c r="D18" s="5" t="s">
        <v>1002</v>
      </c>
      <c r="E18" s="5"/>
      <c r="F18" s="5"/>
      <c r="G18" s="591">
        <v>32329000</v>
      </c>
      <c r="H18" s="568"/>
      <c r="I18" s="743"/>
    </row>
    <row r="19" spans="2:11" ht="21" customHeight="1">
      <c r="B19" s="5"/>
      <c r="C19" s="5"/>
      <c r="D19" s="5" t="s">
        <v>1003</v>
      </c>
      <c r="E19" s="5"/>
      <c r="F19" s="5"/>
      <c r="G19" s="727">
        <v>17230649</v>
      </c>
      <c r="H19" s="728"/>
      <c r="I19" s="228"/>
      <c r="J19" s="228"/>
      <c r="K19" s="312"/>
    </row>
    <row r="20" spans="2:11" ht="21" customHeight="1">
      <c r="B20" s="5"/>
      <c r="C20" s="566"/>
      <c r="D20" s="567" t="s">
        <v>3884</v>
      </c>
      <c r="E20" s="566"/>
      <c r="F20" s="566"/>
      <c r="G20" s="372">
        <v>56014.8</v>
      </c>
      <c r="H20" s="568"/>
    </row>
    <row r="21" spans="2:11" ht="21" customHeight="1">
      <c r="B21" s="5"/>
      <c r="C21" s="567" t="s">
        <v>3480</v>
      </c>
      <c r="D21" s="566"/>
      <c r="E21" s="566"/>
      <c r="F21" s="566"/>
      <c r="G21" s="372"/>
      <c r="H21" s="568"/>
    </row>
    <row r="22" spans="2:11" s="322" customFormat="1" ht="21" customHeight="1">
      <c r="B22" s="323"/>
      <c r="C22" s="567"/>
      <c r="D22" s="566"/>
      <c r="E22" s="566"/>
      <c r="F22" s="566"/>
      <c r="G22" s="727"/>
      <c r="H22" s="728"/>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c r="D25" s="566"/>
      <c r="E25" s="566"/>
      <c r="F25" s="566"/>
      <c r="G25" s="372"/>
      <c r="H25" s="568"/>
      <c r="I25" s="713"/>
    </row>
    <row r="26" spans="2:11" ht="21" customHeight="1">
      <c r="B26" s="5"/>
      <c r="C26" s="567"/>
      <c r="D26" s="566"/>
      <c r="E26" s="566"/>
      <c r="F26" s="566"/>
      <c r="G26" s="727"/>
      <c r="H26" s="728"/>
      <c r="I26" s="713"/>
    </row>
    <row r="27" spans="2:11" ht="21" customHeight="1">
      <c r="B27" s="5"/>
      <c r="C27" s="834"/>
      <c r="D27" s="566"/>
      <c r="E27" s="566"/>
      <c r="F27" s="566"/>
      <c r="G27" s="372"/>
      <c r="H27" s="568"/>
      <c r="I27" s="711"/>
    </row>
    <row r="28" spans="2:11" ht="21" customHeight="1">
      <c r="B28" s="5"/>
      <c r="C28" s="566"/>
      <c r="D28" s="566"/>
      <c r="E28" s="566"/>
      <c r="F28" s="566"/>
      <c r="G28" s="372"/>
      <c r="H28" s="568"/>
      <c r="I28" s="228"/>
    </row>
    <row r="29" spans="2:11" s="322" customFormat="1" ht="21" customHeight="1">
      <c r="B29" s="323"/>
      <c r="C29" s="566"/>
      <c r="D29" s="566"/>
      <c r="E29" s="566"/>
      <c r="F29" s="566"/>
      <c r="G29" s="591"/>
      <c r="H29" s="730"/>
      <c r="I29" s="325"/>
    </row>
    <row r="30" spans="2:11" s="322" customFormat="1" ht="21" customHeight="1">
      <c r="B30" s="323"/>
      <c r="C30" s="566"/>
      <c r="D30" s="566"/>
      <c r="E30" s="566"/>
      <c r="F30" s="566"/>
      <c r="G30" s="727"/>
      <c r="H30" s="728"/>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3"/>
    </row>
    <row r="34" spans="2:9" ht="21" customHeight="1">
      <c r="B34" s="5"/>
      <c r="C34" s="566"/>
      <c r="D34" s="566"/>
      <c r="E34" s="566"/>
      <c r="F34" s="566"/>
      <c r="G34" s="727"/>
      <c r="H34" s="568"/>
      <c r="I34" s="713"/>
    </row>
    <row r="35" spans="2:9" ht="21" customHeight="1">
      <c r="B35" s="5"/>
      <c r="C35" s="566"/>
      <c r="D35" s="566"/>
      <c r="E35" s="566"/>
      <c r="F35" s="566"/>
      <c r="G35" s="372"/>
      <c r="H35" s="568"/>
    </row>
    <row r="36" spans="2:9" ht="21" customHeight="1">
      <c r="B36" s="5"/>
      <c r="C36" s="567"/>
      <c r="D36" s="566"/>
      <c r="E36" s="566"/>
      <c r="F36" s="566"/>
      <c r="G36" s="727"/>
      <c r="H36" s="728"/>
      <c r="I36" s="228"/>
    </row>
    <row r="37" spans="2:9" ht="21" customHeight="1">
      <c r="B37" s="5"/>
      <c r="C37" s="566"/>
      <c r="D37" s="566"/>
      <c r="E37" s="566"/>
      <c r="F37" s="566"/>
      <c r="G37" s="372"/>
      <c r="H37" s="568"/>
    </row>
    <row r="38" spans="2:9" ht="21" customHeight="1">
      <c r="B38" s="5"/>
      <c r="C38" s="567"/>
      <c r="D38" s="566"/>
      <c r="E38" s="566"/>
      <c r="F38" s="566"/>
      <c r="G38" s="372"/>
      <c r="H38" s="730"/>
      <c r="I38" s="228"/>
    </row>
    <row r="39" spans="2:9" ht="21" customHeight="1">
      <c r="B39" s="5"/>
      <c r="C39" s="566"/>
      <c r="D39" s="566"/>
      <c r="E39" s="566"/>
      <c r="F39" s="566"/>
      <c r="G39" s="372"/>
      <c r="H39" s="568"/>
      <c r="I39" s="713"/>
    </row>
    <row r="40" spans="2:9" ht="21" customHeight="1">
      <c r="B40" s="5"/>
      <c r="C40" s="567"/>
      <c r="D40" s="566"/>
      <c r="E40" s="566"/>
      <c r="F40" s="566"/>
      <c r="G40" s="372"/>
      <c r="H40" s="568"/>
      <c r="I40" s="711"/>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11"/>
    </row>
    <row r="44" spans="2:9" ht="21" customHeight="1" thickBot="1">
      <c r="B44" s="323"/>
      <c r="C44" s="326" t="s">
        <v>3546</v>
      </c>
      <c r="D44" s="323"/>
      <c r="E44" s="323"/>
      <c r="F44" s="323"/>
      <c r="G44" s="219">
        <f>SUM(G9:G43)</f>
        <v>67721240.189999998</v>
      </c>
      <c r="H44" s="220">
        <f>SUM(H9:H43)</f>
        <v>11286549</v>
      </c>
      <c r="I44" s="228"/>
    </row>
    <row r="45" spans="2:9" ht="13.8" thickTop="1">
      <c r="B45" s="1511" t="s">
        <v>127</v>
      </c>
      <c r="C45" s="1511"/>
      <c r="D45" s="1511"/>
      <c r="E45" s="1511"/>
      <c r="F45" s="1511"/>
      <c r="G45" s="1511"/>
      <c r="H45" s="1511"/>
    </row>
    <row r="46" spans="2:9">
      <c r="B46" s="816"/>
      <c r="C46" s="816"/>
      <c r="D46" s="816"/>
      <c r="E46" s="816"/>
      <c r="F46" s="816"/>
      <c r="G46" s="816"/>
      <c r="H46" s="816"/>
    </row>
    <row r="47" spans="2:9">
      <c r="B47" s="322"/>
      <c r="C47" s="322"/>
      <c r="D47" s="322"/>
      <c r="E47" s="322"/>
      <c r="F47" s="322"/>
      <c r="G47" s="322"/>
      <c r="H47" s="322"/>
    </row>
    <row r="48" spans="2:9" ht="13.8">
      <c r="B48" s="1507" t="s">
        <v>250</v>
      </c>
      <c r="C48" s="1507"/>
      <c r="D48" s="1507"/>
      <c r="E48" s="1507"/>
      <c r="F48" s="1507"/>
      <c r="G48" s="1507"/>
      <c r="H48" s="1507"/>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69">
    <tabColor theme="7" tint="0.39997558519241921"/>
  </sheetPr>
  <dimension ref="B1:AC52"/>
  <sheetViews>
    <sheetView zoomScaleNormal="100" zoomScaleSheetLayoutView="80" workbookViewId="0">
      <selection activeCell="B1" sqref="B1"/>
    </sheetView>
  </sheetViews>
  <sheetFormatPr defaultColWidth="8.88671875" defaultRowHeight="13.2"/>
  <cols>
    <col min="1" max="3" width="4.6640625" style="398" customWidth="1"/>
    <col min="4" max="4" width="4.5546875" style="398" customWidth="1"/>
    <col min="5" max="5" width="8.88671875" style="398"/>
    <col min="6" max="6" width="6.6640625" style="398" customWidth="1"/>
    <col min="7" max="10" width="16.6640625" style="398" customWidth="1"/>
    <col min="11" max="20" width="8.88671875" style="398"/>
    <col min="21" max="23" width="4.6640625" style="322" customWidth="1"/>
    <col min="24" max="24" width="8.88671875" style="322"/>
    <col min="25" max="25" width="6.6640625" style="322" customWidth="1"/>
    <col min="26" max="29" width="16.6640625" style="322" customWidth="1"/>
    <col min="30" max="16384" width="8.88671875" style="398"/>
  </cols>
  <sheetData>
    <row r="1" spans="2:19">
      <c r="B1" s="1116"/>
      <c r="C1" s="1116"/>
      <c r="D1" s="1224"/>
      <c r="E1" s="1224"/>
      <c r="F1" s="1116"/>
      <c r="G1" s="1116"/>
      <c r="H1" s="1116"/>
      <c r="I1" s="1116"/>
      <c r="J1" s="1116"/>
    </row>
    <row r="2" spans="2:19">
      <c r="B2" s="1116"/>
      <c r="C2" s="1116"/>
      <c r="D2" s="1224"/>
      <c r="E2" s="1224"/>
      <c r="F2" s="1116"/>
      <c r="G2" s="1116"/>
      <c r="H2" s="1116"/>
      <c r="I2" s="1116"/>
      <c r="J2" s="1116"/>
    </row>
    <row r="3" spans="2:19" ht="24.6">
      <c r="B3" s="1950" t="str">
        <f>UPPER('KEY INPUTS'!D$56)&amp;" UTILITY FUND"</f>
        <v xml:space="preserve"> UTILITY FUND</v>
      </c>
      <c r="C3" s="1950"/>
      <c r="D3" s="1950"/>
      <c r="E3" s="1950"/>
      <c r="F3" s="1950"/>
      <c r="G3" s="1950"/>
      <c r="H3" s="1950"/>
      <c r="I3" s="1950"/>
      <c r="J3" s="1950"/>
    </row>
    <row r="4" spans="2:19">
      <c r="B4" s="1116"/>
      <c r="C4" s="1116"/>
      <c r="D4" s="1116"/>
      <c r="E4" s="1116"/>
      <c r="F4" s="1116"/>
      <c r="G4" s="1116"/>
      <c r="H4" s="1116"/>
      <c r="I4" s="1116"/>
      <c r="J4" s="1116"/>
    </row>
    <row r="5" spans="2:19" ht="17.399999999999999">
      <c r="B5" s="1806" t="str">
        <f>"CAPITAL  IMPROVEMENTS  AUTHORIZED  IN "&amp;TEXT('KEY INPUTS'!D34,"0")&amp;""</f>
        <v>CAPITAL  IMPROVEMENTS  AUTHORIZED  IN 2019</v>
      </c>
      <c r="C5" s="1806"/>
      <c r="D5" s="1806"/>
      <c r="E5" s="1806"/>
      <c r="F5" s="1806"/>
      <c r="G5" s="1806"/>
      <c r="H5" s="1806"/>
      <c r="I5" s="1806"/>
      <c r="J5" s="1806"/>
    </row>
    <row r="6" spans="2:19" ht="17.399999999999999">
      <c r="B6" s="1806" t="s">
        <v>261</v>
      </c>
      <c r="C6" s="1806"/>
      <c r="D6" s="1806"/>
      <c r="E6" s="1806"/>
      <c r="F6" s="1806"/>
      <c r="G6" s="1806"/>
      <c r="H6" s="1806"/>
      <c r="I6" s="1806"/>
      <c r="J6" s="1806"/>
    </row>
    <row r="7" spans="2:19" ht="13.8" thickBot="1">
      <c r="B7" s="1116"/>
      <c r="C7" s="1116"/>
      <c r="D7" s="1116"/>
      <c r="E7" s="1116"/>
      <c r="F7" s="1116"/>
      <c r="G7" s="1116"/>
      <c r="H7" s="1116"/>
      <c r="I7" s="1116"/>
      <c r="J7" s="1116"/>
    </row>
    <row r="8" spans="2:19" ht="13.8" thickTop="1">
      <c r="B8" s="1239"/>
      <c r="C8" s="1239"/>
      <c r="D8" s="1239"/>
      <c r="E8" s="1239"/>
      <c r="F8" s="1239"/>
      <c r="G8" s="1240"/>
      <c r="H8" s="1240"/>
      <c r="I8" s="1240"/>
      <c r="J8" s="1304" t="s">
        <v>307</v>
      </c>
    </row>
    <row r="9" spans="2:19">
      <c r="B9" s="1116"/>
      <c r="C9" s="1865" t="s">
        <v>532</v>
      </c>
      <c r="D9" s="1865"/>
      <c r="E9" s="1865"/>
      <c r="F9" s="1116"/>
      <c r="G9" s="1243" t="s">
        <v>533</v>
      </c>
      <c r="H9" s="1243" t="s">
        <v>260</v>
      </c>
      <c r="I9" s="1243" t="s">
        <v>265</v>
      </c>
      <c r="J9" s="1301" t="s">
        <v>308</v>
      </c>
    </row>
    <row r="10" spans="2:19">
      <c r="B10" s="1116"/>
      <c r="C10" s="1116"/>
      <c r="D10" s="1116"/>
      <c r="E10" s="1116"/>
      <c r="F10" s="1116"/>
      <c r="G10" s="1243" t="s">
        <v>263</v>
      </c>
      <c r="H10" s="1243" t="s">
        <v>264</v>
      </c>
      <c r="I10" s="1243" t="s">
        <v>266</v>
      </c>
      <c r="J10" s="1409" t="str">
        <f>"of " &amp;TEXT('KEY INPUTS'!D34,"0")&amp;" or Prior"</f>
        <v>of 2019 or Prior</v>
      </c>
    </row>
    <row r="11" spans="2:19" ht="13.8" thickBot="1">
      <c r="B11" s="1171"/>
      <c r="C11" s="1171"/>
      <c r="D11" s="1171"/>
      <c r="E11" s="1171"/>
      <c r="F11" s="1171"/>
      <c r="G11" s="1250"/>
      <c r="H11" s="1250" t="s">
        <v>560</v>
      </c>
      <c r="I11" s="1250" t="s">
        <v>306</v>
      </c>
      <c r="J11" s="1410"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1171"/>
      <c r="C22" s="1171"/>
      <c r="D22" s="1171"/>
      <c r="E22" s="1171"/>
      <c r="F22" s="1171"/>
      <c r="G22" s="1133">
        <f>SUM(G12:G21)</f>
        <v>0</v>
      </c>
      <c r="H22" s="1133">
        <f>SUM(H12:H21)</f>
        <v>0</v>
      </c>
      <c r="I22" s="1133">
        <f>SUM(I12:I21)</f>
        <v>0</v>
      </c>
      <c r="J22" s="1411">
        <f>SUM(J12:J21)</f>
        <v>0</v>
      </c>
      <c r="M22" s="322"/>
      <c r="N22" s="322"/>
      <c r="O22" s="322"/>
      <c r="P22" s="322"/>
      <c r="Q22" s="322"/>
      <c r="R22" s="322"/>
      <c r="S22" s="322"/>
    </row>
    <row r="23" spans="2:19" ht="13.8" thickTop="1">
      <c r="B23" s="1116"/>
      <c r="C23" s="1116"/>
      <c r="D23" s="1116"/>
      <c r="E23" s="1116"/>
      <c r="F23" s="1116"/>
      <c r="G23" s="1116"/>
      <c r="H23" s="1116"/>
      <c r="I23" s="1116"/>
      <c r="J23" s="1116"/>
      <c r="M23" s="322"/>
      <c r="N23" s="322"/>
      <c r="O23" s="322"/>
      <c r="P23" s="322"/>
      <c r="Q23" s="322"/>
      <c r="R23" s="322"/>
      <c r="S23" s="322"/>
    </row>
    <row r="24" spans="2:19">
      <c r="B24" s="1116"/>
      <c r="C24" s="1116"/>
      <c r="D24" s="1116"/>
      <c r="E24" s="1116"/>
      <c r="F24" s="1116"/>
      <c r="G24" s="1116"/>
      <c r="H24" s="1116"/>
      <c r="I24" s="1116"/>
      <c r="J24" s="1116"/>
      <c r="M24" s="322"/>
      <c r="N24" s="322"/>
      <c r="O24" s="322"/>
      <c r="P24" s="322"/>
      <c r="Q24" s="322"/>
      <c r="R24" s="322"/>
      <c r="S24" s="322"/>
    </row>
    <row r="25" spans="2:19">
      <c r="B25" s="1116"/>
      <c r="C25" s="1116"/>
      <c r="D25" s="1116"/>
      <c r="E25" s="1116"/>
      <c r="F25" s="1116"/>
      <c r="G25" s="1116"/>
      <c r="H25" s="1116"/>
      <c r="I25" s="1116"/>
      <c r="J25" s="1116"/>
      <c r="M25" s="322"/>
      <c r="N25" s="322"/>
      <c r="O25" s="322"/>
      <c r="P25" s="322"/>
      <c r="Q25" s="322"/>
      <c r="R25" s="322"/>
      <c r="S25" s="322"/>
    </row>
    <row r="26" spans="2:19">
      <c r="B26" s="1116"/>
      <c r="C26" s="1116"/>
      <c r="D26" s="1116"/>
      <c r="E26" s="1116"/>
      <c r="F26" s="1116"/>
      <c r="G26" s="1116"/>
      <c r="H26" s="1116"/>
      <c r="I26" s="1116"/>
      <c r="J26" s="1116"/>
      <c r="M26" s="322"/>
      <c r="N26" s="322"/>
      <c r="O26" s="322"/>
      <c r="P26" s="322"/>
      <c r="Q26" s="322"/>
      <c r="R26" s="322"/>
      <c r="S26" s="322"/>
    </row>
    <row r="27" spans="2:19">
      <c r="B27" s="1116"/>
      <c r="C27" s="1116"/>
      <c r="D27" s="1116"/>
      <c r="E27" s="1116"/>
      <c r="F27" s="1116"/>
      <c r="G27" s="1116"/>
      <c r="H27" s="1116"/>
      <c r="I27" s="1116"/>
      <c r="J27" s="1116"/>
      <c r="M27" s="322"/>
      <c r="N27" s="322"/>
      <c r="O27" s="322"/>
      <c r="P27" s="322"/>
      <c r="Q27" s="322"/>
      <c r="R27" s="322"/>
      <c r="S27" s="322"/>
    </row>
    <row r="28" spans="2:19" ht="22.8">
      <c r="B28" s="1760" t="str">
        <f>UPPER('KEY INPUTS'!D$56)&amp;" UTILITY  CAPITAL  FUND"</f>
        <v xml:space="preserve"> UTILITY  CAPITAL  FUND</v>
      </c>
      <c r="C28" s="1760"/>
      <c r="D28" s="1760"/>
      <c r="E28" s="1760"/>
      <c r="F28" s="1760"/>
      <c r="G28" s="1760"/>
      <c r="H28" s="1760"/>
      <c r="I28" s="1760"/>
      <c r="J28" s="1760"/>
    </row>
    <row r="29" spans="2:19" ht="22.8">
      <c r="B29" s="1760" t="s">
        <v>193</v>
      </c>
      <c r="C29" s="1760"/>
      <c r="D29" s="1760"/>
      <c r="E29" s="1760"/>
      <c r="F29" s="1760"/>
      <c r="G29" s="1760"/>
      <c r="H29" s="1760"/>
      <c r="I29" s="1760"/>
      <c r="J29" s="1760"/>
    </row>
    <row r="30" spans="2:19">
      <c r="B30" s="1116"/>
      <c r="C30" s="1116"/>
      <c r="D30" s="1116"/>
      <c r="E30" s="1116"/>
      <c r="F30" s="1116"/>
      <c r="G30" s="1116"/>
      <c r="H30" s="1116"/>
      <c r="I30" s="1116"/>
      <c r="J30" s="1116"/>
    </row>
    <row r="31" spans="2:19" ht="15.6">
      <c r="B31" s="1767" t="str">
        <f>"YEAR  "&amp;TEXT('KEY INPUTS'!D34,"0")&amp;""</f>
        <v>YEAR  2019</v>
      </c>
      <c r="C31" s="1767"/>
      <c r="D31" s="1767"/>
      <c r="E31" s="1767"/>
      <c r="F31" s="1767"/>
      <c r="G31" s="1767"/>
      <c r="H31" s="1767"/>
      <c r="I31" s="1767"/>
      <c r="J31" s="1767"/>
    </row>
    <row r="32" spans="2:19" ht="13.8" thickBot="1">
      <c r="B32" s="1116"/>
      <c r="C32" s="1116"/>
      <c r="D32" s="1116"/>
      <c r="E32" s="1116"/>
      <c r="F32" s="1116"/>
      <c r="G32" s="1116"/>
      <c r="H32" s="1116"/>
      <c r="I32" s="1116"/>
      <c r="J32" s="1116"/>
    </row>
    <row r="33" spans="2:10" ht="28.5" customHeight="1" thickTop="1" thickBot="1">
      <c r="B33" s="1335"/>
      <c r="C33" s="1335"/>
      <c r="D33" s="1335"/>
      <c r="E33" s="1335"/>
      <c r="F33" s="1335"/>
      <c r="G33" s="1335"/>
      <c r="H33" s="1335"/>
      <c r="I33" s="1117" t="s">
        <v>125</v>
      </c>
      <c r="J33" s="1118" t="s">
        <v>126</v>
      </c>
    </row>
    <row r="34" spans="2:10" ht="21" customHeight="1" thickTop="1">
      <c r="B34" s="1412" t="str">
        <f>'KEY INPUTS'!D25</f>
        <v>Balance - January 1, 2019</v>
      </c>
      <c r="C34" s="1172"/>
      <c r="D34" s="1172"/>
      <c r="E34" s="1172"/>
      <c r="F34" s="1172"/>
      <c r="G34" s="1172"/>
      <c r="H34" s="1172"/>
      <c r="I34" s="1173" t="s">
        <v>788</v>
      </c>
      <c r="J34" s="638"/>
    </row>
    <row r="35" spans="2:10" ht="21" customHeight="1">
      <c r="B35" s="691" t="s">
        <v>195</v>
      </c>
      <c r="C35" s="691"/>
      <c r="D35" s="691"/>
      <c r="E35" s="691"/>
      <c r="F35" s="691"/>
      <c r="G35" s="691"/>
      <c r="H35" s="691"/>
      <c r="I35" s="1176" t="s">
        <v>788</v>
      </c>
      <c r="J35" s="578"/>
    </row>
    <row r="36" spans="2:10" ht="21" customHeight="1">
      <c r="B36" s="691" t="s">
        <v>196</v>
      </c>
      <c r="C36" s="691"/>
      <c r="D36" s="691"/>
      <c r="E36" s="691"/>
      <c r="F36" s="691"/>
      <c r="G36" s="691"/>
      <c r="H36" s="691"/>
      <c r="I36" s="1176" t="s">
        <v>788</v>
      </c>
      <c r="J36" s="578"/>
    </row>
    <row r="37" spans="2:10" ht="21" customHeight="1">
      <c r="B37" s="648" t="s">
        <v>3496</v>
      </c>
      <c r="C37" s="648"/>
      <c r="D37" s="648"/>
      <c r="E37" s="648"/>
      <c r="F37" s="648"/>
      <c r="G37" s="648"/>
      <c r="H37" s="691"/>
      <c r="I37" s="844"/>
      <c r="J37" s="578"/>
    </row>
    <row r="38" spans="2:10" ht="21" customHeight="1">
      <c r="B38" s="648"/>
      <c r="C38" s="648"/>
      <c r="D38" s="648"/>
      <c r="E38" s="648"/>
      <c r="F38" s="648"/>
      <c r="G38" s="648"/>
      <c r="H38" s="691"/>
      <c r="I38" s="374"/>
      <c r="J38" s="578"/>
    </row>
    <row r="39" spans="2:10" ht="21" customHeight="1">
      <c r="B39" s="648"/>
      <c r="C39" s="648"/>
      <c r="D39" s="648"/>
      <c r="E39" s="648"/>
      <c r="F39" s="648"/>
      <c r="G39" s="648"/>
      <c r="H39" s="691"/>
      <c r="I39" s="374"/>
      <c r="J39" s="578"/>
    </row>
    <row r="40" spans="2:10" ht="21" customHeight="1">
      <c r="B40" s="691" t="s">
        <v>3455</v>
      </c>
      <c r="C40" s="691"/>
      <c r="D40" s="691"/>
      <c r="E40" s="691"/>
      <c r="F40" s="691"/>
      <c r="G40" s="691"/>
      <c r="H40" s="691"/>
      <c r="I40" s="374"/>
      <c r="J40" s="1302" t="s">
        <v>788</v>
      </c>
    </row>
    <row r="41" spans="2:10" ht="21" customHeight="1">
      <c r="B41" s="916" t="str">
        <f>"Appropriation to "&amp;'KEY INPUTS'!D34&amp;" Budget Reserve"</f>
        <v>Appropriation to 2019 Budget Reserve</v>
      </c>
      <c r="C41" s="691"/>
      <c r="D41" s="691"/>
      <c r="E41" s="691"/>
      <c r="F41" s="691"/>
      <c r="G41" s="1413"/>
      <c r="H41" s="691"/>
      <c r="I41" s="575"/>
      <c r="J41" s="1302" t="s">
        <v>788</v>
      </c>
    </row>
    <row r="42" spans="2:10" ht="21" customHeight="1">
      <c r="B42" s="691" t="str">
        <f>'KEY INPUTS'!D26</f>
        <v>Balance - December 31, 2019</v>
      </c>
      <c r="C42" s="691"/>
      <c r="D42" s="691"/>
      <c r="E42" s="691"/>
      <c r="F42" s="691"/>
      <c r="G42" s="691"/>
      <c r="H42" s="691"/>
      <c r="I42" s="844">
        <f>SUM(J34:J39)-SUM(I37:I41)</f>
        <v>0</v>
      </c>
      <c r="J42" s="1302" t="s">
        <v>788</v>
      </c>
    </row>
    <row r="43" spans="2:10" ht="21" customHeight="1" thickBot="1">
      <c r="B43" s="1116"/>
      <c r="C43" s="1116"/>
      <c r="D43" s="1116"/>
      <c r="E43" s="1116"/>
      <c r="F43" s="1116"/>
      <c r="G43" s="1116"/>
      <c r="H43" s="1116"/>
      <c r="I43" s="1111">
        <f>SUM(I34:I42)</f>
        <v>0</v>
      </c>
      <c r="J43" s="1414">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766" t="s">
        <v>3454</v>
      </c>
      <c r="C52" s="1766"/>
      <c r="D52" s="1766"/>
      <c r="E52" s="1766"/>
      <c r="F52" s="1766"/>
      <c r="G52" s="1766"/>
      <c r="H52" s="1766"/>
      <c r="I52" s="1766"/>
      <c r="J52" s="1766"/>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0">
    <tabColor theme="3" tint="0.79998168889431442"/>
  </sheetPr>
  <dimension ref="B1:R57"/>
  <sheetViews>
    <sheetView zoomScaleNormal="100" zoomScaleSheetLayoutView="80" workbookViewId="0">
      <selection activeCell="H40" sqref="H40"/>
    </sheetView>
  </sheetViews>
  <sheetFormatPr defaultColWidth="8.88671875" defaultRowHeight="13.2"/>
  <cols>
    <col min="1" max="1" width="4.6640625" style="398" customWidth="1"/>
    <col min="2" max="2" width="4.88671875" style="398" customWidth="1"/>
    <col min="3" max="4" width="4.6640625" style="398" customWidth="1"/>
    <col min="5" max="5" width="30.6640625" style="398" customWidth="1"/>
    <col min="6" max="6" width="15.6640625" style="398" customWidth="1"/>
    <col min="7" max="8" width="16.6640625" style="398" customWidth="1"/>
    <col min="9" max="9" width="3.6640625" style="398" bestFit="1" customWidth="1"/>
    <col min="10" max="10" width="13.5546875" style="398" bestFit="1" customWidth="1"/>
    <col min="11" max="16384" width="8.88671875" style="398"/>
  </cols>
  <sheetData>
    <row r="1" spans="2:18">
      <c r="B1" s="1116"/>
      <c r="C1" s="1116"/>
      <c r="D1" s="1116"/>
      <c r="E1" s="1116"/>
      <c r="F1" s="1116"/>
      <c r="G1" s="1116"/>
      <c r="H1" s="1116"/>
    </row>
    <row r="2" spans="2:18">
      <c r="B2" s="1759" t="s">
        <v>37</v>
      </c>
      <c r="C2" s="1759"/>
      <c r="D2" s="1759"/>
      <c r="E2" s="1759"/>
      <c r="F2" s="1759"/>
      <c r="G2" s="1759"/>
      <c r="H2" s="1759"/>
    </row>
    <row r="3" spans="2:18">
      <c r="B3" s="1759" t="s">
        <v>572</v>
      </c>
      <c r="C3" s="1759"/>
      <c r="D3" s="1759"/>
      <c r="E3" s="1759"/>
      <c r="F3" s="1759"/>
      <c r="G3" s="1759"/>
      <c r="H3" s="1759"/>
    </row>
    <row r="4" spans="2:18">
      <c r="B4" s="1116"/>
      <c r="C4" s="1116"/>
      <c r="D4" s="1116"/>
      <c r="E4" s="1116"/>
      <c r="F4" s="1116"/>
      <c r="G4" s="1116"/>
      <c r="H4" s="1116"/>
    </row>
    <row r="5" spans="2:18" ht="22.8">
      <c r="B5" s="1760" t="s">
        <v>543</v>
      </c>
      <c r="C5" s="1760"/>
      <c r="D5" s="1760"/>
      <c r="E5" s="1760"/>
      <c r="F5" s="1760"/>
      <c r="G5" s="1760"/>
      <c r="H5" s="1760"/>
    </row>
    <row r="6" spans="2:18" ht="22.8">
      <c r="B6" s="1760" t="str">
        <f>"TRIAL  BALANCE - "&amp;UPPER('KEY INPUTS'!D557)&amp;"  UTILITY  FUND"</f>
        <v>TRIAL  BALANCE -   UTILITY  FUND</v>
      </c>
      <c r="C6" s="1760"/>
      <c r="D6" s="1760"/>
      <c r="E6" s="1760"/>
      <c r="F6" s="1760"/>
      <c r="G6" s="1760"/>
      <c r="H6" s="1760"/>
    </row>
    <row r="7" spans="2:18" ht="15.6">
      <c r="B7" s="1761" t="str">
        <f>'KEY INPUTS'!D44</f>
        <v>AS  AT  DECEMBER  31, 2019</v>
      </c>
      <c r="C7" s="1762"/>
      <c r="D7" s="1762"/>
      <c r="E7" s="1762"/>
      <c r="F7" s="1762"/>
      <c r="G7" s="1762"/>
      <c r="H7" s="1762"/>
    </row>
    <row r="8" spans="2:18" ht="15.6">
      <c r="B8" s="1767" t="s">
        <v>573</v>
      </c>
      <c r="C8" s="1767"/>
      <c r="D8" s="1767"/>
      <c r="E8" s="1767"/>
      <c r="F8" s="1767"/>
      <c r="G8" s="1767"/>
      <c r="H8" s="1767"/>
    </row>
    <row r="9" spans="2:18">
      <c r="B9" s="1768" t="s">
        <v>79</v>
      </c>
      <c r="C9" s="1768"/>
      <c r="D9" s="1768"/>
      <c r="E9" s="1768"/>
      <c r="F9" s="1768"/>
      <c r="G9" s="1768"/>
      <c r="H9" s="1768"/>
    </row>
    <row r="10" spans="2:18" ht="15" customHeight="1" thickBot="1">
      <c r="B10" s="1769" t="s">
        <v>80</v>
      </c>
      <c r="C10" s="1769"/>
      <c r="D10" s="1769"/>
      <c r="E10" s="1769"/>
      <c r="F10" s="1769"/>
      <c r="G10" s="1769"/>
      <c r="H10" s="1769"/>
    </row>
    <row r="11" spans="2:18" ht="36" customHeight="1" thickTop="1" thickBot="1">
      <c r="B11" s="1763" t="s">
        <v>124</v>
      </c>
      <c r="C11" s="1763"/>
      <c r="D11" s="1763"/>
      <c r="E11" s="1763"/>
      <c r="F11" s="1764"/>
      <c r="G11" s="1117" t="s">
        <v>125</v>
      </c>
      <c r="H11" s="1118" t="s">
        <v>126</v>
      </c>
      <c r="L11" s="322"/>
      <c r="M11" s="322"/>
      <c r="N11" s="322"/>
      <c r="O11" s="322"/>
      <c r="P11" s="322"/>
      <c r="Q11" s="322"/>
      <c r="R11" s="322"/>
    </row>
    <row r="12" spans="2:18" ht="21" customHeight="1" thickTop="1">
      <c r="B12" s="1116"/>
      <c r="C12" s="1116"/>
      <c r="D12" s="1116"/>
      <c r="E12" s="1116"/>
      <c r="F12" s="1116"/>
      <c r="G12" s="1119"/>
      <c r="H12" s="1120"/>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8" t="s">
        <v>419</v>
      </c>
      <c r="C14" s="648"/>
      <c r="D14" s="648"/>
      <c r="E14" s="648"/>
      <c r="F14" s="652"/>
      <c r="G14" s="601"/>
      <c r="H14" s="609"/>
      <c r="J14" s="740"/>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8" t="s">
        <v>3497</v>
      </c>
      <c r="C16" s="648"/>
      <c r="D16" s="648"/>
      <c r="E16" s="648"/>
      <c r="F16" s="648"/>
      <c r="G16" s="1113"/>
      <c r="H16" s="1113"/>
      <c r="L16" s="322"/>
      <c r="M16" s="322"/>
      <c r="N16" s="322"/>
      <c r="O16" s="322"/>
      <c r="P16" s="322"/>
      <c r="Q16" s="322"/>
      <c r="R16" s="322"/>
    </row>
    <row r="17" spans="2:18" ht="21" customHeight="1">
      <c r="B17" s="648" t="s">
        <v>3497</v>
      </c>
      <c r="C17" s="648"/>
      <c r="D17" s="648"/>
      <c r="E17" s="648"/>
      <c r="F17" s="648"/>
      <c r="G17" s="1113"/>
      <c r="H17" s="1113"/>
      <c r="L17" s="322"/>
      <c r="M17" s="322"/>
      <c r="N17" s="322"/>
      <c r="O17" s="322"/>
      <c r="P17" s="322"/>
      <c r="Q17" s="322"/>
      <c r="R17" s="322"/>
    </row>
    <row r="18" spans="2:18" ht="21" customHeight="1">
      <c r="B18" s="648"/>
      <c r="C18" s="648"/>
      <c r="D18" s="648"/>
      <c r="E18" s="648"/>
      <c r="F18" s="648"/>
      <c r="G18" s="1113"/>
      <c r="H18" s="1113"/>
      <c r="L18" s="322"/>
      <c r="M18" s="322"/>
      <c r="N18" s="322"/>
      <c r="O18" s="322"/>
      <c r="P18" s="322"/>
      <c r="Q18" s="322"/>
      <c r="R18" s="322"/>
    </row>
    <row r="19" spans="2:18" ht="21" customHeight="1">
      <c r="B19" s="1121" t="s">
        <v>3486</v>
      </c>
      <c r="C19" s="1116"/>
      <c r="D19" s="1116"/>
      <c r="E19" s="1116"/>
      <c r="F19" s="1116"/>
      <c r="G19" s="1122"/>
      <c r="H19" s="1123"/>
      <c r="L19" s="322"/>
      <c r="M19" s="322"/>
      <c r="N19" s="322"/>
      <c r="O19" s="322"/>
      <c r="P19" s="322"/>
      <c r="Q19" s="322"/>
      <c r="R19" s="322"/>
    </row>
    <row r="20" spans="2:18" ht="21" customHeight="1">
      <c r="B20" s="691" t="s">
        <v>3487</v>
      </c>
      <c r="C20" s="691"/>
      <c r="D20" s="691"/>
      <c r="E20" s="691"/>
      <c r="F20" s="691"/>
      <c r="G20" s="1124">
        <f>+'47-Utility6'!L24</f>
        <v>0</v>
      </c>
      <c r="H20" s="1125"/>
      <c r="L20" s="322"/>
      <c r="M20" s="322"/>
      <c r="N20" s="322"/>
      <c r="O20" s="322"/>
      <c r="P20" s="322"/>
      <c r="Q20" s="322"/>
      <c r="R20" s="322"/>
    </row>
    <row r="21" spans="2:18" ht="21" customHeight="1">
      <c r="B21" s="691" t="s">
        <v>3488</v>
      </c>
      <c r="C21" s="691"/>
      <c r="D21" s="691"/>
      <c r="E21" s="691"/>
      <c r="F21" s="691"/>
      <c r="G21" s="690">
        <f>+'47-Utility6'!L54</f>
        <v>0</v>
      </c>
      <c r="H21" s="1116"/>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J23" s="740"/>
      <c r="L23" s="322"/>
      <c r="M23" s="322"/>
      <c r="N23" s="322"/>
      <c r="O23" s="322"/>
      <c r="P23" s="322"/>
      <c r="Q23" s="322"/>
      <c r="R23" s="322"/>
    </row>
    <row r="24" spans="2:18" ht="21" customHeight="1">
      <c r="B24" s="648"/>
      <c r="C24" s="648"/>
      <c r="D24" s="648"/>
      <c r="E24" s="648"/>
      <c r="F24" s="648"/>
      <c r="G24" s="601"/>
      <c r="H24" s="609"/>
      <c r="J24" s="740"/>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91" t="s">
        <v>3489</v>
      </c>
      <c r="C26" s="691"/>
      <c r="D26" s="691"/>
      <c r="E26" s="691"/>
      <c r="F26" s="691"/>
      <c r="G26" s="690">
        <f>+'48-Utility6'!N23</f>
        <v>0</v>
      </c>
      <c r="H26" s="1126"/>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1127" t="s">
        <v>3490</v>
      </c>
      <c r="C30" s="691"/>
      <c r="D30" s="691"/>
      <c r="E30" s="691"/>
      <c r="F30" s="691"/>
      <c r="G30" s="690"/>
      <c r="H30" s="1126"/>
    </row>
    <row r="31" spans="2:18" ht="21" customHeight="1">
      <c r="B31" s="691" t="s">
        <v>3412</v>
      </c>
      <c r="C31" s="691"/>
      <c r="D31" s="691"/>
      <c r="E31" s="691"/>
      <c r="F31" s="691"/>
      <c r="G31" s="601"/>
      <c r="H31" s="1126">
        <f>+'44-Utility6'!I37</f>
        <v>0</v>
      </c>
      <c r="J31" s="740"/>
    </row>
    <row r="32" spans="2:18" ht="21" customHeight="1">
      <c r="B32" s="691" t="s">
        <v>3411</v>
      </c>
      <c r="C32" s="691"/>
      <c r="D32" s="691"/>
      <c r="E32" s="691"/>
      <c r="F32" s="691"/>
      <c r="G32" s="601"/>
      <c r="H32" s="609"/>
    </row>
    <row r="33" spans="2:18" ht="21" customHeight="1">
      <c r="B33" s="691" t="s">
        <v>3410</v>
      </c>
      <c r="C33" s="691"/>
      <c r="D33" s="691"/>
      <c r="E33" s="691"/>
      <c r="F33" s="691"/>
      <c r="G33" s="601"/>
      <c r="H33" s="1128">
        <f>+'49-Utility6'!I29+'49a-Utility6'!I29+'50-Utility6'!M24+'49a.1-Utility6'!I29</f>
        <v>0</v>
      </c>
      <c r="J33" s="740"/>
    </row>
    <row r="34" spans="2:18" ht="21" customHeight="1">
      <c r="B34" s="648" t="s">
        <v>3498</v>
      </c>
      <c r="C34" s="648"/>
      <c r="D34" s="648"/>
      <c r="E34" s="648"/>
      <c r="F34" s="652"/>
      <c r="G34" s="601"/>
      <c r="H34" s="609"/>
    </row>
    <row r="35" spans="2:18" ht="21" customHeight="1">
      <c r="B35" s="648"/>
      <c r="C35" s="648"/>
      <c r="D35" s="648"/>
      <c r="E35" s="648"/>
      <c r="F35" s="648"/>
      <c r="G35" s="601"/>
      <c r="H35" s="609"/>
      <c r="L35" s="322"/>
      <c r="M35" s="322"/>
      <c r="N35" s="322"/>
      <c r="O35" s="322"/>
      <c r="P35" s="322"/>
      <c r="Q35" s="322"/>
      <c r="R35" s="322"/>
    </row>
    <row r="36" spans="2:18" ht="21" customHeight="1">
      <c r="B36" s="648"/>
      <c r="C36" s="648"/>
      <c r="D36" s="648"/>
      <c r="E36" s="648"/>
      <c r="F36" s="648"/>
      <c r="G36" s="601"/>
      <c r="H36" s="609"/>
      <c r="J36" s="740"/>
      <c r="L36" s="322"/>
      <c r="M36" s="322"/>
      <c r="N36" s="322"/>
      <c r="O36" s="322"/>
      <c r="P36" s="322"/>
      <c r="Q36" s="322"/>
      <c r="R36" s="322"/>
    </row>
    <row r="37" spans="2:18" ht="21" customHeight="1">
      <c r="B37" s="648"/>
      <c r="C37" s="648"/>
      <c r="D37" s="648"/>
      <c r="E37" s="648"/>
      <c r="F37" s="648"/>
      <c r="G37" s="601"/>
      <c r="H37" s="609"/>
      <c r="J37" s="740"/>
      <c r="L37" s="322"/>
      <c r="M37" s="322"/>
      <c r="N37" s="322"/>
      <c r="O37" s="322"/>
      <c r="P37" s="322"/>
      <c r="Q37" s="322"/>
      <c r="R37" s="322"/>
    </row>
    <row r="38" spans="2:18" ht="21" customHeight="1" thickBot="1">
      <c r="B38" s="648"/>
      <c r="C38" s="648"/>
      <c r="D38" s="648"/>
      <c r="E38" s="648"/>
      <c r="F38" s="648"/>
      <c r="G38" s="601"/>
      <c r="H38" s="633"/>
      <c r="L38" s="322"/>
      <c r="M38" s="322"/>
      <c r="N38" s="322"/>
      <c r="O38" s="322"/>
      <c r="P38" s="322"/>
      <c r="Q38" s="322"/>
      <c r="R38" s="322"/>
    </row>
    <row r="39" spans="2:18" ht="21" customHeight="1" thickTop="1">
      <c r="B39" s="691"/>
      <c r="C39" s="691" t="s">
        <v>3409</v>
      </c>
      <c r="D39" s="691"/>
      <c r="E39" s="691"/>
      <c r="F39" s="1286"/>
      <c r="G39" s="1287"/>
      <c r="H39" s="1129">
        <f>SUM(H30:H38)</f>
        <v>0</v>
      </c>
      <c r="I39" s="398" t="s">
        <v>998</v>
      </c>
    </row>
    <row r="40" spans="2:18" ht="21" customHeight="1">
      <c r="B40" s="1130" t="s">
        <v>3499</v>
      </c>
      <c r="C40" s="1130"/>
      <c r="D40" s="1130"/>
      <c r="E40" s="1130"/>
      <c r="F40" s="1130"/>
      <c r="G40" s="1125"/>
      <c r="H40" s="1113"/>
    </row>
    <row r="41" spans="2:18" ht="21" customHeight="1">
      <c r="B41" s="691"/>
      <c r="C41" s="691"/>
      <c r="D41" s="691"/>
      <c r="E41" s="691"/>
      <c r="F41" s="691"/>
      <c r="G41" s="690"/>
      <c r="H41" s="1126"/>
    </row>
    <row r="42" spans="2:18" ht="21" customHeight="1">
      <c r="B42" s="691" t="s">
        <v>778</v>
      </c>
      <c r="C42" s="691"/>
      <c r="D42" s="691"/>
      <c r="E42" s="691"/>
      <c r="F42" s="691"/>
      <c r="G42" s="690"/>
      <c r="H42" s="1126">
        <f>+'46-Utility6'!K27</f>
        <v>0</v>
      </c>
    </row>
    <row r="43" spans="2:18" ht="21" customHeight="1" thickBot="1">
      <c r="B43" s="691"/>
      <c r="C43" s="691"/>
      <c r="D43" s="691"/>
      <c r="E43" s="691"/>
      <c r="F43" s="691"/>
      <c r="G43" s="1131"/>
      <c r="H43" s="1132"/>
    </row>
    <row r="44" spans="2:18" ht="21" customHeight="1" thickBot="1">
      <c r="B44" s="691" t="s">
        <v>3500</v>
      </c>
      <c r="C44" s="691"/>
      <c r="D44" s="691"/>
      <c r="E44" s="691"/>
      <c r="F44" s="691"/>
      <c r="G44" s="1133">
        <f>SUM(G12:G43)</f>
        <v>0</v>
      </c>
      <c r="H44" s="1134">
        <f>SUM(H39:H43)</f>
        <v>0</v>
      </c>
      <c r="J44" s="399">
        <f>G44-H44</f>
        <v>0</v>
      </c>
    </row>
    <row r="45" spans="2:18" ht="13.8" thickTop="1">
      <c r="B45" s="1865" t="s">
        <v>127</v>
      </c>
      <c r="C45" s="1865"/>
      <c r="D45" s="1865"/>
      <c r="E45" s="1865"/>
      <c r="F45" s="1865"/>
      <c r="G45" s="1865"/>
      <c r="H45" s="1865"/>
    </row>
    <row r="46" spans="2:18">
      <c r="B46" s="1301"/>
      <c r="C46" s="1301"/>
      <c r="D46" s="1301"/>
      <c r="E46" s="1301"/>
      <c r="F46" s="1301"/>
      <c r="G46" s="1301"/>
      <c r="H46" s="1301"/>
    </row>
    <row r="47" spans="2:18">
      <c r="B47" s="1301"/>
      <c r="C47" s="1301"/>
      <c r="D47" s="1301"/>
      <c r="E47" s="1301"/>
      <c r="F47" s="1301"/>
      <c r="G47" s="1301"/>
      <c r="H47" s="1301"/>
    </row>
    <row r="48" spans="2:18">
      <c r="B48" s="1301"/>
      <c r="C48" s="1301"/>
      <c r="D48" s="1301"/>
      <c r="E48" s="1301"/>
      <c r="F48" s="1301"/>
      <c r="G48" s="1301"/>
      <c r="H48" s="1301"/>
    </row>
    <row r="49" spans="2:8">
      <c r="B49" s="1301"/>
      <c r="C49" s="1301"/>
      <c r="D49" s="1301"/>
      <c r="E49" s="1301"/>
      <c r="F49" s="1301"/>
      <c r="G49" s="1301"/>
      <c r="H49" s="1301"/>
    </row>
    <row r="50" spans="2:8" ht="13.8">
      <c r="B50" s="1951" t="s">
        <v>3407</v>
      </c>
      <c r="C50" s="1951"/>
      <c r="D50" s="1951"/>
      <c r="E50" s="1951"/>
      <c r="F50" s="1951"/>
      <c r="G50" s="1951"/>
      <c r="H50" s="1951"/>
    </row>
    <row r="54" spans="2:8">
      <c r="H54" s="399"/>
    </row>
    <row r="57" spans="2:8">
      <c r="H57" s="399">
        <f>+H44-G44</f>
        <v>0</v>
      </c>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1">
    <tabColor theme="3" tint="0.79998168889431442"/>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INPUTS'!D57)&amp;"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1116"/>
      <c r="C12" s="1116"/>
      <c r="D12" s="1116"/>
      <c r="E12" s="1116"/>
      <c r="F12" s="1116"/>
      <c r="G12" s="1119"/>
      <c r="H12" s="1120"/>
    </row>
    <row r="13" spans="2:17" ht="21" customHeight="1">
      <c r="B13" s="1127" t="s">
        <v>809</v>
      </c>
      <c r="C13" s="691"/>
      <c r="D13" s="691"/>
      <c r="E13" s="691"/>
      <c r="F13" s="691"/>
      <c r="G13" s="690"/>
      <c r="H13" s="1126"/>
      <c r="K13" s="322"/>
      <c r="L13" s="322"/>
      <c r="M13" s="322"/>
      <c r="N13" s="322"/>
      <c r="O13" s="322"/>
      <c r="P13" s="322"/>
      <c r="Q13" s="322"/>
    </row>
    <row r="14" spans="2:17" ht="21" customHeight="1">
      <c r="B14" s="691"/>
      <c r="C14" s="691"/>
      <c r="D14" s="691"/>
      <c r="E14" s="691"/>
      <c r="F14" s="691"/>
      <c r="G14" s="690"/>
      <c r="H14" s="1126"/>
      <c r="K14" s="322"/>
      <c r="L14" s="322"/>
      <c r="M14" s="322"/>
      <c r="N14" s="322"/>
      <c r="O14" s="322"/>
      <c r="P14" s="322"/>
      <c r="Q14" s="322"/>
    </row>
    <row r="15" spans="2:17" ht="21" customHeight="1">
      <c r="B15" s="1116" t="s">
        <v>251</v>
      </c>
      <c r="C15" s="691"/>
      <c r="D15" s="691"/>
      <c r="E15" s="691"/>
      <c r="F15" s="691"/>
      <c r="G15" s="372"/>
      <c r="H15" s="1302" t="s">
        <v>788</v>
      </c>
      <c r="K15" s="377"/>
      <c r="L15" s="322"/>
      <c r="M15" s="322"/>
      <c r="N15" s="322"/>
      <c r="O15" s="322"/>
      <c r="P15" s="322"/>
      <c r="Q15" s="322"/>
    </row>
    <row r="16" spans="2:17" ht="21" customHeight="1">
      <c r="B16" s="691" t="s">
        <v>252</v>
      </c>
      <c r="C16" s="691"/>
      <c r="D16" s="691"/>
      <c r="E16" s="691"/>
      <c r="F16" s="691"/>
      <c r="G16" s="1176" t="s">
        <v>788</v>
      </c>
      <c r="H16" s="915">
        <f>+G15</f>
        <v>0</v>
      </c>
      <c r="K16" s="322"/>
      <c r="L16" s="322"/>
      <c r="M16" s="322"/>
      <c r="N16" s="322"/>
      <c r="O16" s="322"/>
      <c r="P16" s="322"/>
      <c r="Q16" s="322"/>
    </row>
    <row r="17" spans="2:17" ht="21" customHeight="1">
      <c r="B17" s="691"/>
      <c r="C17" s="691"/>
      <c r="D17" s="691"/>
      <c r="E17" s="691"/>
      <c r="F17" s="691"/>
      <c r="G17" s="908"/>
      <c r="H17" s="915"/>
      <c r="K17" s="322"/>
      <c r="L17" s="322"/>
      <c r="M17" s="322"/>
      <c r="N17" s="322"/>
      <c r="O17" s="322"/>
      <c r="P17" s="322"/>
      <c r="Q17" s="322"/>
    </row>
    <row r="18" spans="2:17" ht="21" customHeight="1">
      <c r="B18" s="691"/>
      <c r="C18" s="691" t="s">
        <v>459</v>
      </c>
      <c r="D18" s="691"/>
      <c r="E18" s="691"/>
      <c r="F18" s="691"/>
      <c r="G18" s="372"/>
      <c r="H18" s="568"/>
      <c r="K18" s="322"/>
      <c r="L18" s="322"/>
      <c r="M18" s="322"/>
      <c r="N18" s="322"/>
      <c r="O18" s="322"/>
      <c r="P18" s="322"/>
      <c r="Q18" s="322"/>
    </row>
    <row r="19" spans="2:17" ht="21" customHeight="1">
      <c r="B19" s="402"/>
      <c r="C19" s="648"/>
      <c r="D19" s="648"/>
      <c r="E19" s="648"/>
      <c r="F19" s="648"/>
      <c r="G19" s="372"/>
      <c r="H19" s="568"/>
      <c r="K19" s="322"/>
      <c r="L19" s="322"/>
      <c r="M19" s="322"/>
      <c r="N19" s="322"/>
      <c r="O19" s="322"/>
      <c r="P19" s="322"/>
      <c r="Q19" s="322"/>
    </row>
    <row r="20" spans="2:17" ht="21" customHeight="1">
      <c r="B20" s="691"/>
      <c r="C20" s="691" t="s">
        <v>1154</v>
      </c>
      <c r="D20" s="691"/>
      <c r="E20" s="691"/>
      <c r="F20" s="691"/>
      <c r="G20" s="372"/>
      <c r="H20" s="568"/>
      <c r="K20" s="322"/>
      <c r="L20" s="322"/>
      <c r="M20" s="322"/>
      <c r="N20" s="322"/>
      <c r="O20" s="322"/>
      <c r="P20" s="322"/>
      <c r="Q20" s="322"/>
    </row>
    <row r="21" spans="2:17" ht="21" customHeight="1">
      <c r="B21" s="691"/>
      <c r="C21" s="691" t="s">
        <v>810</v>
      </c>
      <c r="D21" s="691"/>
      <c r="E21" s="691"/>
      <c r="F21" s="691"/>
      <c r="G21" s="908"/>
      <c r="H21" s="909"/>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838</v>
      </c>
      <c r="E23" s="691"/>
      <c r="F23" s="691"/>
      <c r="G23" s="372"/>
      <c r="H23" s="568"/>
      <c r="K23" s="322"/>
      <c r="L23" s="322"/>
      <c r="M23" s="322"/>
      <c r="N23" s="322"/>
      <c r="O23" s="322"/>
      <c r="P23" s="322"/>
      <c r="Q23" s="322"/>
    </row>
    <row r="24" spans="2:17" ht="21" customHeight="1">
      <c r="B24" s="402"/>
      <c r="C24" s="648"/>
      <c r="D24" s="648" t="s">
        <v>3408</v>
      </c>
      <c r="E24" s="648"/>
      <c r="F24" s="648"/>
      <c r="G24" s="372"/>
      <c r="H24" s="589"/>
      <c r="K24" s="322"/>
      <c r="L24" s="322"/>
      <c r="M24" s="322"/>
      <c r="N24" s="322"/>
      <c r="O24" s="322"/>
      <c r="P24" s="322"/>
      <c r="Q24" s="322"/>
    </row>
    <row r="25" spans="2:17" ht="21" customHeight="1">
      <c r="B25" s="402"/>
      <c r="C25" s="648"/>
      <c r="D25" s="648" t="s">
        <v>3408</v>
      </c>
      <c r="E25" s="648"/>
      <c r="F25" s="648"/>
      <c r="G25" s="372"/>
      <c r="H25" s="589" t="s">
        <v>3408</v>
      </c>
    </row>
    <row r="26" spans="2:17" ht="21" customHeight="1">
      <c r="B26" s="402"/>
      <c r="C26" s="649"/>
      <c r="D26" s="648"/>
      <c r="E26" s="648"/>
      <c r="F26" s="648"/>
      <c r="G26" s="372"/>
      <c r="H26" s="651"/>
    </row>
    <row r="27" spans="2:17" ht="21" customHeight="1">
      <c r="B27" s="402"/>
      <c r="C27" s="648" t="s">
        <v>3408</v>
      </c>
      <c r="D27" s="648"/>
      <c r="E27" s="648"/>
      <c r="F27" s="648"/>
      <c r="G27" s="372"/>
      <c r="H27" s="589" t="s">
        <v>3408</v>
      </c>
    </row>
    <row r="28" spans="2:17" ht="21" customHeight="1">
      <c r="B28" s="402"/>
      <c r="C28" s="648"/>
      <c r="D28" s="648"/>
      <c r="E28" s="648"/>
      <c r="F28" s="648"/>
      <c r="G28" s="372"/>
      <c r="H28" s="589"/>
    </row>
    <row r="29" spans="2:17" ht="21" customHeight="1">
      <c r="B29" s="402"/>
      <c r="C29" s="648"/>
      <c r="D29" s="648" t="s">
        <v>3408</v>
      </c>
      <c r="E29" s="648"/>
      <c r="F29" s="648"/>
      <c r="G29" s="372"/>
      <c r="H29" s="589"/>
      <c r="K29" s="322"/>
      <c r="L29" s="322"/>
      <c r="M29" s="322"/>
      <c r="N29" s="322"/>
      <c r="O29" s="322"/>
      <c r="P29" s="322"/>
      <c r="Q29" s="322"/>
    </row>
    <row r="30" spans="2:17" ht="21" customHeight="1">
      <c r="B30" s="402"/>
      <c r="C30" s="648"/>
      <c r="D30" s="648" t="s">
        <v>3408</v>
      </c>
      <c r="E30" s="648"/>
      <c r="F30" s="648"/>
      <c r="G30" s="372"/>
      <c r="H30" s="589"/>
      <c r="K30" s="322"/>
      <c r="L30" s="322"/>
      <c r="M30" s="322"/>
      <c r="N30" s="322"/>
      <c r="O30" s="322"/>
      <c r="P30" s="322"/>
      <c r="Q30" s="322"/>
    </row>
    <row r="31" spans="2:17" ht="21" customHeight="1">
      <c r="B31" s="402"/>
      <c r="C31" s="648"/>
      <c r="D31" s="648" t="s">
        <v>3408</v>
      </c>
      <c r="E31" s="648"/>
      <c r="F31" s="648"/>
      <c r="G31" s="372"/>
      <c r="H31" s="589" t="s">
        <v>3408</v>
      </c>
    </row>
    <row r="32" spans="2:17" ht="21" customHeight="1">
      <c r="B32" s="402"/>
      <c r="C32" s="649"/>
      <c r="D32" s="648"/>
      <c r="E32" s="648"/>
      <c r="F32" s="648"/>
      <c r="G32" s="372"/>
      <c r="H32" s="651"/>
    </row>
    <row r="33" spans="2:17" ht="21" customHeight="1">
      <c r="B33" s="402"/>
      <c r="C33" s="648" t="s">
        <v>3408</v>
      </c>
      <c r="D33" s="648"/>
      <c r="E33" s="648"/>
      <c r="F33" s="648"/>
      <c r="G33" s="372"/>
      <c r="H33" s="589" t="s">
        <v>3408</v>
      </c>
    </row>
    <row r="34" spans="2:17" ht="21" customHeight="1">
      <c r="B34" s="402"/>
      <c r="C34" s="648"/>
      <c r="D34" s="648"/>
      <c r="E34" s="648"/>
      <c r="F34" s="648"/>
      <c r="G34" s="372"/>
      <c r="H34" s="589"/>
    </row>
    <row r="35" spans="2:17" ht="21" customHeight="1">
      <c r="B35" s="402"/>
      <c r="C35" s="648"/>
      <c r="D35" s="648" t="s">
        <v>3408</v>
      </c>
      <c r="E35" s="648"/>
      <c r="F35" s="648"/>
      <c r="G35" s="372"/>
      <c r="H35" s="589"/>
      <c r="K35" s="322"/>
      <c r="L35" s="322"/>
      <c r="M35" s="322"/>
      <c r="N35" s="322"/>
      <c r="O35" s="322"/>
      <c r="P35" s="322"/>
      <c r="Q35" s="322"/>
    </row>
    <row r="36" spans="2:17" ht="21" customHeight="1">
      <c r="B36" s="402"/>
      <c r="C36" s="648"/>
      <c r="D36" s="648" t="s">
        <v>3408</v>
      </c>
      <c r="E36" s="648"/>
      <c r="F36" s="648"/>
      <c r="G36" s="372"/>
      <c r="H36" s="589" t="s">
        <v>3408</v>
      </c>
    </row>
    <row r="37" spans="2:17" ht="21" customHeight="1">
      <c r="B37" s="402"/>
      <c r="C37" s="649"/>
      <c r="D37" s="648"/>
      <c r="E37" s="648"/>
      <c r="F37" s="648"/>
      <c r="G37" s="372"/>
      <c r="H37" s="651"/>
    </row>
    <row r="38" spans="2:17" ht="21" customHeight="1">
      <c r="B38" s="402"/>
      <c r="C38" s="648" t="s">
        <v>3408</v>
      </c>
      <c r="D38" s="648"/>
      <c r="E38" s="648"/>
      <c r="F38" s="648"/>
      <c r="G38" s="372"/>
      <c r="H38" s="589" t="s">
        <v>3408</v>
      </c>
    </row>
    <row r="39" spans="2:17" ht="21" customHeight="1">
      <c r="B39" s="402"/>
      <c r="C39" s="648"/>
      <c r="D39" s="648"/>
      <c r="E39" s="648"/>
      <c r="F39" s="648"/>
      <c r="G39" s="372"/>
      <c r="H39" s="589"/>
    </row>
    <row r="40" spans="2:17" ht="21" customHeight="1">
      <c r="B40" s="402"/>
      <c r="C40" s="648"/>
      <c r="D40" s="648"/>
      <c r="E40" s="648"/>
      <c r="F40" s="648"/>
      <c r="G40" s="372"/>
      <c r="H40" s="589"/>
    </row>
    <row r="41" spans="2:17" ht="21" customHeight="1">
      <c r="B41" s="402"/>
      <c r="C41" s="648" t="s">
        <v>3408</v>
      </c>
      <c r="D41" s="648"/>
      <c r="E41" s="648"/>
      <c r="F41" s="648"/>
      <c r="G41" s="372"/>
      <c r="H41" s="589" t="s">
        <v>3408</v>
      </c>
    </row>
    <row r="42" spans="2:17" ht="21" customHeight="1">
      <c r="B42" s="402"/>
      <c r="C42" s="648" t="s">
        <v>3408</v>
      </c>
      <c r="D42" s="648"/>
      <c r="E42" s="648"/>
      <c r="F42" s="648"/>
      <c r="G42" s="372"/>
      <c r="H42" s="589" t="s">
        <v>3408</v>
      </c>
    </row>
    <row r="43" spans="2:17" ht="21" customHeight="1" thickBot="1">
      <c r="B43" s="691"/>
      <c r="C43" s="691"/>
      <c r="D43" s="691"/>
      <c r="E43" s="691"/>
      <c r="F43" s="691"/>
      <c r="G43" s="1296"/>
      <c r="H43" s="1297"/>
      <c r="I43" s="399"/>
      <c r="M43" s="399"/>
    </row>
    <row r="44" spans="2:17" ht="21" customHeight="1" thickBot="1">
      <c r="B44" s="691"/>
      <c r="C44" s="691" t="s">
        <v>3546</v>
      </c>
      <c r="D44" s="691"/>
      <c r="E44" s="691"/>
      <c r="F44" s="691"/>
      <c r="G44" s="1298">
        <f>SUM(G15:G42)</f>
        <v>0</v>
      </c>
      <c r="H44" s="1299">
        <f>SUM(H15:H43)</f>
        <v>0</v>
      </c>
      <c r="I44" s="399"/>
      <c r="K44" s="399"/>
    </row>
    <row r="45" spans="2:17" ht="13.8" thickTop="1">
      <c r="B45" s="1918" t="s">
        <v>127</v>
      </c>
      <c r="C45" s="1918"/>
      <c r="D45" s="1918"/>
      <c r="E45" s="1918"/>
      <c r="F45" s="1918"/>
      <c r="G45" s="1919"/>
      <c r="H45" s="1919"/>
    </row>
    <row r="46" spans="2:17">
      <c r="B46" s="1301"/>
      <c r="C46" s="1301"/>
      <c r="D46" s="1301"/>
      <c r="E46" s="1301"/>
      <c r="F46" s="1301"/>
      <c r="G46" s="1301"/>
      <c r="H46" s="1301"/>
    </row>
    <row r="47" spans="2:17">
      <c r="B47" s="1301"/>
      <c r="C47" s="1301"/>
      <c r="D47" s="1301"/>
      <c r="E47" s="1301"/>
      <c r="F47" s="1301"/>
      <c r="G47" s="1301"/>
      <c r="H47" s="1301"/>
    </row>
    <row r="48" spans="2:17">
      <c r="B48" s="1301"/>
      <c r="C48" s="1301"/>
      <c r="D48" s="1301"/>
      <c r="E48" s="1301"/>
      <c r="F48" s="1301"/>
      <c r="G48" s="1301"/>
      <c r="H48" s="1301"/>
    </row>
    <row r="49" spans="2:8">
      <c r="B49" s="1301"/>
      <c r="C49" s="1301"/>
      <c r="D49" s="1301"/>
      <c r="E49" s="1301"/>
      <c r="F49" s="1301"/>
      <c r="G49" s="1301"/>
      <c r="H49" s="1301"/>
    </row>
    <row r="50" spans="2:8" ht="13.8">
      <c r="B50" s="1951" t="s">
        <v>3413</v>
      </c>
      <c r="C50" s="1951"/>
      <c r="D50" s="1951"/>
      <c r="E50" s="1951"/>
      <c r="F50" s="1951"/>
      <c r="G50" s="1951"/>
      <c r="H50" s="1951"/>
    </row>
    <row r="55" spans="2:8">
      <c r="H55" s="399"/>
    </row>
  </sheetData>
  <sheetProtection algorithmName="SHA-512" hashValue="Rh2R4Pp9yZgmV/xr3gJ6BtYKw/kVXdrX/vZIcie+vqHxsDtqkGjXjh3o2JWYMJyqYDczOTneL1Rf/nrEhFRweA==" saltValue="g9itsj/Om6vdZduwwo6t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2">
    <tabColor theme="3" tint="0.79998168889431442"/>
  </sheetPr>
  <dimension ref="B1:Q55"/>
  <sheetViews>
    <sheetView zoomScaleNormal="100" zoomScaleSheetLayoutView="80" workbookViewId="0">
      <selection activeCell="B1" sqref="B1"/>
    </sheetView>
  </sheetViews>
  <sheetFormatPr defaultColWidth="8.88671875" defaultRowHeight="13.2"/>
  <cols>
    <col min="1" max="1" width="4.6640625" style="398" customWidth="1"/>
    <col min="2" max="2" width="4.88671875" style="398" customWidth="1"/>
    <col min="3" max="4" width="4.6640625" style="398" customWidth="1"/>
    <col min="5" max="5" width="34.33203125" style="398" customWidth="1"/>
    <col min="6" max="6" width="15.6640625" style="398" customWidth="1"/>
    <col min="7" max="8" width="16.6640625" style="398" customWidth="1"/>
    <col min="9" max="9" width="10.88671875" style="398" bestFit="1" customWidth="1"/>
    <col min="10" max="10" width="8.88671875" style="398"/>
    <col min="11" max="11" width="10.33203125" style="398" bestFit="1" customWidth="1"/>
    <col min="12" max="12" width="8.88671875" style="398"/>
    <col min="13" max="13" width="13.88671875" style="398" bestFit="1" customWidth="1"/>
    <col min="14" max="16384" width="8.88671875" style="398"/>
  </cols>
  <sheetData>
    <row r="1" spans="2:17">
      <c r="B1" s="1116"/>
      <c r="C1" s="1116"/>
      <c r="D1" s="1116"/>
      <c r="E1" s="1116"/>
      <c r="F1" s="1116"/>
      <c r="G1" s="1116"/>
      <c r="H1" s="1116"/>
    </row>
    <row r="2" spans="2:17">
      <c r="B2" s="1759" t="s">
        <v>37</v>
      </c>
      <c r="C2" s="1759"/>
      <c r="D2" s="1759"/>
      <c r="E2" s="1759"/>
      <c r="F2" s="1759"/>
      <c r="G2" s="1759"/>
      <c r="H2" s="1759"/>
    </row>
    <row r="3" spans="2:17">
      <c r="B3" s="1759" t="s">
        <v>572</v>
      </c>
      <c r="C3" s="1759"/>
      <c r="D3" s="1759"/>
      <c r="E3" s="1759"/>
      <c r="F3" s="1759"/>
      <c r="G3" s="1759"/>
      <c r="H3" s="1759"/>
    </row>
    <row r="4" spans="2:17">
      <c r="B4" s="1116"/>
      <c r="C4" s="1116"/>
      <c r="D4" s="1116"/>
      <c r="E4" s="1116"/>
      <c r="F4" s="1116"/>
      <c r="G4" s="1116"/>
      <c r="H4" s="1116"/>
    </row>
    <row r="5" spans="2:17" ht="22.8">
      <c r="B5" s="1760" t="s">
        <v>543</v>
      </c>
      <c r="C5" s="1760"/>
      <c r="D5" s="1760"/>
      <c r="E5" s="1760"/>
      <c r="F5" s="1760"/>
      <c r="G5" s="1760"/>
      <c r="H5" s="1760"/>
    </row>
    <row r="6" spans="2:17" ht="22.8">
      <c r="B6" s="1760" t="str">
        <f>"TRIAL  BALANCE - "&amp;UPPER('KEY INPUTS'!D57)&amp;"  UTILITY  FUND (cont'd)"</f>
        <v>TRIAL  BALANCE -   UTILITY  FUND (cont'd)</v>
      </c>
      <c r="C6" s="1760"/>
      <c r="D6" s="1760"/>
      <c r="E6" s="1760"/>
      <c r="F6" s="1760"/>
      <c r="G6" s="1760"/>
      <c r="H6" s="1760"/>
    </row>
    <row r="7" spans="2:17" ht="15.6">
      <c r="B7" s="1761" t="str">
        <f>'KEY INPUTS'!D44</f>
        <v>AS  AT  DECEMBER  31, 2019</v>
      </c>
      <c r="C7" s="1762"/>
      <c r="D7" s="1762"/>
      <c r="E7" s="1762"/>
      <c r="F7" s="1762"/>
      <c r="G7" s="1762"/>
      <c r="H7" s="1762"/>
    </row>
    <row r="8" spans="2:17" ht="15.6">
      <c r="B8" s="1767" t="s">
        <v>573</v>
      </c>
      <c r="C8" s="1767"/>
      <c r="D8" s="1767"/>
      <c r="E8" s="1767"/>
      <c r="F8" s="1767"/>
      <c r="G8" s="1767"/>
      <c r="H8" s="1767"/>
    </row>
    <row r="9" spans="2:17">
      <c r="B9" s="1768" t="s">
        <v>79</v>
      </c>
      <c r="C9" s="1768"/>
      <c r="D9" s="1768"/>
      <c r="E9" s="1768"/>
      <c r="F9" s="1768"/>
      <c r="G9" s="1768"/>
      <c r="H9" s="1768"/>
    </row>
    <row r="10" spans="2:17" ht="15" customHeight="1" thickBot="1">
      <c r="B10" s="1769" t="s">
        <v>80</v>
      </c>
      <c r="C10" s="1769"/>
      <c r="D10" s="1769"/>
      <c r="E10" s="1769"/>
      <c r="F10" s="1769"/>
      <c r="G10" s="1769"/>
      <c r="H10" s="1769"/>
    </row>
    <row r="11" spans="2:17" ht="36" customHeight="1" thickTop="1" thickBot="1">
      <c r="B11" s="1763" t="s">
        <v>124</v>
      </c>
      <c r="C11" s="1763"/>
      <c r="D11" s="1763"/>
      <c r="E11" s="1763"/>
      <c r="F11" s="1764"/>
      <c r="G11" s="1117" t="s">
        <v>125</v>
      </c>
      <c r="H11" s="1118" t="s">
        <v>126</v>
      </c>
    </row>
    <row r="12" spans="2:17" ht="21" customHeight="1" thickTop="1">
      <c r="B12" s="691"/>
      <c r="C12" s="691" t="s">
        <v>3547</v>
      </c>
      <c r="D12" s="691"/>
      <c r="E12" s="691"/>
      <c r="F12" s="691"/>
      <c r="G12" s="908">
        <f>'41a-Utility6'!G44</f>
        <v>0</v>
      </c>
      <c r="H12" s="915">
        <f>'41a-Utility6'!H44</f>
        <v>0</v>
      </c>
    </row>
    <row r="13" spans="2:17" ht="21" customHeight="1">
      <c r="C13" s="649"/>
      <c r="D13" s="649"/>
      <c r="E13" s="649"/>
      <c r="F13" s="649"/>
      <c r="G13" s="601"/>
      <c r="H13" s="651"/>
    </row>
    <row r="14" spans="2:17" ht="21" customHeight="1">
      <c r="B14" s="407"/>
      <c r="C14" s="648"/>
      <c r="D14" s="648"/>
      <c r="E14" s="648"/>
      <c r="F14" s="648"/>
      <c r="G14" s="601"/>
      <c r="H14" s="609"/>
      <c r="K14" s="322"/>
      <c r="L14" s="322"/>
      <c r="M14" s="322"/>
      <c r="N14" s="322"/>
      <c r="O14" s="322"/>
      <c r="P14" s="322"/>
      <c r="Q14" s="322"/>
    </row>
    <row r="15" spans="2:17" ht="21" customHeight="1">
      <c r="B15" s="402"/>
      <c r="C15" s="648"/>
      <c r="D15" s="648"/>
      <c r="E15" s="648"/>
      <c r="F15" s="648"/>
      <c r="G15" s="601"/>
      <c r="H15" s="609"/>
      <c r="K15" s="322"/>
      <c r="L15" s="322"/>
      <c r="M15" s="322"/>
      <c r="N15" s="322"/>
      <c r="O15" s="322"/>
      <c r="P15" s="322"/>
      <c r="Q15" s="322"/>
    </row>
    <row r="16" spans="2:17" ht="21" customHeight="1">
      <c r="B16" s="402"/>
      <c r="C16" s="648"/>
      <c r="D16" s="648"/>
      <c r="E16" s="648"/>
      <c r="F16" s="648"/>
      <c r="G16" s="372"/>
      <c r="H16" s="589"/>
      <c r="K16" s="322"/>
      <c r="L16" s="322"/>
      <c r="M16" s="322"/>
      <c r="N16" s="322"/>
      <c r="O16" s="322"/>
      <c r="P16" s="322"/>
      <c r="Q16" s="322"/>
    </row>
    <row r="17" spans="2:17" ht="21" customHeight="1">
      <c r="B17" s="691"/>
      <c r="C17" s="691" t="s">
        <v>3416</v>
      </c>
      <c r="D17" s="691"/>
      <c r="E17" s="691"/>
      <c r="F17" s="691"/>
      <c r="G17" s="908"/>
      <c r="H17" s="915">
        <f>'49-Utility6'!G22</f>
        <v>0</v>
      </c>
      <c r="K17" s="322"/>
      <c r="L17" s="322"/>
      <c r="M17" s="322"/>
      <c r="N17" s="322"/>
      <c r="O17" s="322"/>
      <c r="P17" s="322"/>
      <c r="Q17" s="322"/>
    </row>
    <row r="18" spans="2:17" ht="21" customHeight="1">
      <c r="B18" s="691"/>
      <c r="C18" s="691" t="s">
        <v>3680</v>
      </c>
      <c r="D18" s="691"/>
      <c r="E18" s="691"/>
      <c r="F18" s="691"/>
      <c r="G18" s="908"/>
      <c r="H18" s="915">
        <f>'49a-Utility6'!G11-'49a-Utility6'!G22+'49a.1-Utility6'!G11-'49a.1-Utility6'!G22</f>
        <v>0</v>
      </c>
    </row>
    <row r="19" spans="2:17" ht="21" customHeight="1">
      <c r="B19" s="691"/>
      <c r="C19" s="691" t="s">
        <v>3690</v>
      </c>
      <c r="D19" s="691"/>
      <c r="E19" s="691"/>
      <c r="F19" s="691"/>
      <c r="G19" s="908"/>
      <c r="H19" s="915">
        <f>+'51a-Utility6'!G23</f>
        <v>0</v>
      </c>
      <c r="K19" s="322"/>
      <c r="L19" s="322"/>
      <c r="M19" s="322"/>
      <c r="N19" s="322"/>
      <c r="O19" s="322"/>
      <c r="P19" s="322"/>
      <c r="Q19" s="322"/>
    </row>
    <row r="20" spans="2:17" ht="21" customHeight="1">
      <c r="B20" s="691"/>
      <c r="C20" s="916" t="s">
        <v>3415</v>
      </c>
      <c r="D20" s="691"/>
      <c r="E20" s="691"/>
      <c r="F20" s="691"/>
      <c r="G20" s="908"/>
      <c r="H20" s="915">
        <f>+'50-Utility6'!G18</f>
        <v>0</v>
      </c>
      <c r="K20" s="322"/>
      <c r="L20" s="322"/>
      <c r="M20" s="322"/>
      <c r="N20" s="322"/>
      <c r="O20" s="322"/>
      <c r="P20" s="322"/>
      <c r="Q20" s="322"/>
    </row>
    <row r="21" spans="2:17" ht="21" customHeight="1">
      <c r="B21" s="691"/>
      <c r="C21" s="691" t="s">
        <v>1005</v>
      </c>
      <c r="D21" s="691"/>
      <c r="E21" s="691"/>
      <c r="F21" s="691"/>
      <c r="G21" s="908"/>
      <c r="H21" s="915" t="s">
        <v>3408</v>
      </c>
      <c r="K21" s="322"/>
      <c r="L21" s="322"/>
      <c r="M21" s="322"/>
      <c r="N21" s="322"/>
      <c r="O21" s="322"/>
      <c r="P21" s="322"/>
      <c r="Q21" s="322"/>
    </row>
    <row r="22" spans="2:17" ht="21" customHeight="1">
      <c r="B22" s="691"/>
      <c r="C22" s="691"/>
      <c r="D22" s="691" t="s">
        <v>1002</v>
      </c>
      <c r="E22" s="691"/>
      <c r="F22" s="691"/>
      <c r="G22" s="908"/>
      <c r="H22" s="915">
        <f>+'52-Utility 6'!K27</f>
        <v>0</v>
      </c>
      <c r="J22" s="399"/>
      <c r="K22" s="322"/>
      <c r="L22" s="322"/>
      <c r="M22" s="322"/>
      <c r="N22" s="322"/>
      <c r="O22" s="322"/>
      <c r="P22" s="322"/>
      <c r="Q22" s="322"/>
    </row>
    <row r="23" spans="2:17" ht="21" customHeight="1">
      <c r="B23" s="691"/>
      <c r="C23" s="691"/>
      <c r="D23" s="691" t="s">
        <v>1003</v>
      </c>
      <c r="E23" s="691"/>
      <c r="F23" s="691"/>
      <c r="G23" s="908"/>
      <c r="H23" s="915">
        <f>+'52-Utility 6'!L27</f>
        <v>0</v>
      </c>
      <c r="J23" s="399"/>
      <c r="K23" s="322"/>
      <c r="L23" s="322"/>
      <c r="M23" s="322"/>
      <c r="N23" s="322"/>
      <c r="O23" s="322"/>
      <c r="P23" s="322"/>
      <c r="Q23" s="322"/>
    </row>
    <row r="24" spans="2:17" ht="21" customHeight="1">
      <c r="B24" s="402"/>
      <c r="C24" s="648" t="s">
        <v>3414</v>
      </c>
      <c r="D24" s="648"/>
      <c r="E24" s="648"/>
      <c r="F24" s="648"/>
      <c r="G24" s="372"/>
      <c r="H24" s="568"/>
    </row>
    <row r="25" spans="2:17" ht="21" customHeight="1">
      <c r="B25" s="402"/>
      <c r="C25" s="648" t="s">
        <v>841</v>
      </c>
      <c r="D25" s="648"/>
      <c r="E25" s="648"/>
      <c r="F25" s="648"/>
      <c r="G25" s="372"/>
      <c r="H25" s="568"/>
    </row>
    <row r="26" spans="2:17" ht="21" customHeight="1">
      <c r="B26" s="402"/>
      <c r="C26" s="648" t="str">
        <f>"DUE TO "&amp;UPPER('KEY INPUTS'!D52)&amp;" OPERATING"</f>
        <v>DUE TO WATER OPERATING</v>
      </c>
      <c r="D26" s="648"/>
      <c r="E26" s="648"/>
      <c r="F26" s="648"/>
      <c r="G26" s="372"/>
      <c r="H26" s="568"/>
    </row>
    <row r="27" spans="2:17" ht="21" customHeight="1">
      <c r="B27" s="402"/>
      <c r="C27" s="648" t="s">
        <v>840</v>
      </c>
      <c r="D27" s="648"/>
      <c r="E27" s="648"/>
      <c r="F27" s="648"/>
      <c r="G27" s="372"/>
      <c r="H27" s="568"/>
    </row>
    <row r="28" spans="2:17" ht="21" customHeight="1">
      <c r="B28" s="402"/>
      <c r="C28" s="648" t="s">
        <v>839</v>
      </c>
      <c r="D28" s="648"/>
      <c r="E28" s="648"/>
      <c r="F28" s="648"/>
      <c r="G28" s="372"/>
      <c r="H28" s="568"/>
    </row>
    <row r="29" spans="2:17" ht="21" customHeight="1">
      <c r="B29" s="402"/>
      <c r="C29" s="648" t="s">
        <v>370</v>
      </c>
      <c r="D29" s="648"/>
      <c r="E29" s="648"/>
      <c r="F29" s="648"/>
      <c r="G29" s="372"/>
      <c r="H29" s="568"/>
    </row>
    <row r="30" spans="2:17" ht="21" customHeight="1">
      <c r="B30" s="402"/>
      <c r="C30" s="648"/>
      <c r="D30" s="648"/>
      <c r="E30" s="648"/>
      <c r="F30" s="648"/>
      <c r="G30" s="372"/>
      <c r="H30" s="589" t="s">
        <v>3408</v>
      </c>
    </row>
    <row r="31" spans="2:17" ht="21" customHeight="1">
      <c r="B31" s="402"/>
      <c r="C31" s="648"/>
      <c r="D31" s="648"/>
      <c r="E31" s="648"/>
      <c r="F31" s="648"/>
      <c r="G31" s="372"/>
      <c r="H31" s="589" t="s">
        <v>3408</v>
      </c>
    </row>
    <row r="32" spans="2:17" ht="21" customHeight="1">
      <c r="B32" s="402"/>
      <c r="C32" s="648"/>
      <c r="D32" s="648"/>
      <c r="E32" s="648"/>
      <c r="F32" s="648"/>
      <c r="G32" s="372"/>
      <c r="H32" s="651"/>
    </row>
    <row r="33" spans="2:13" ht="21" customHeight="1">
      <c r="B33" s="402"/>
      <c r="C33" s="648"/>
      <c r="D33" s="648"/>
      <c r="E33" s="648"/>
      <c r="F33" s="648"/>
      <c r="G33" s="372"/>
      <c r="H33" s="589" t="s">
        <v>3408</v>
      </c>
    </row>
    <row r="34" spans="2:13" ht="21" customHeight="1">
      <c r="B34" s="402"/>
      <c r="C34" s="648"/>
      <c r="D34" s="648"/>
      <c r="E34" s="648"/>
      <c r="F34" s="648"/>
      <c r="G34" s="372"/>
      <c r="H34" s="589"/>
    </row>
    <row r="35" spans="2:13" ht="21" customHeight="1">
      <c r="B35" s="402"/>
      <c r="C35" s="648"/>
      <c r="D35" s="648"/>
      <c r="E35" s="648"/>
      <c r="F35" s="648"/>
      <c r="G35" s="372"/>
      <c r="H35" s="589"/>
    </row>
    <row r="36" spans="2:13" ht="21" customHeight="1">
      <c r="B36" s="402"/>
      <c r="C36" s="648"/>
      <c r="D36" s="648"/>
      <c r="E36" s="648"/>
      <c r="F36" s="648"/>
      <c r="G36" s="372"/>
      <c r="H36" s="589" t="s">
        <v>3408</v>
      </c>
    </row>
    <row r="37" spans="2:13" ht="21" customHeight="1">
      <c r="B37" s="402"/>
      <c r="C37" s="648"/>
      <c r="D37" s="648"/>
      <c r="E37" s="648"/>
      <c r="F37" s="648"/>
      <c r="G37" s="372"/>
      <c r="H37" s="651"/>
    </row>
    <row r="38" spans="2:13" ht="21" customHeight="1">
      <c r="B38" s="402"/>
      <c r="C38" s="648"/>
      <c r="D38" s="648"/>
      <c r="E38" s="648"/>
      <c r="F38" s="648"/>
      <c r="G38" s="372"/>
      <c r="H38" s="589" t="s">
        <v>3408</v>
      </c>
    </row>
    <row r="39" spans="2:13" ht="21" customHeight="1">
      <c r="B39" s="402"/>
      <c r="C39" s="648"/>
      <c r="D39" s="648"/>
      <c r="E39" s="648"/>
      <c r="F39" s="648"/>
      <c r="G39" s="372"/>
      <c r="H39" s="589"/>
    </row>
    <row r="40" spans="2:13" ht="21" customHeight="1">
      <c r="B40" s="691"/>
      <c r="C40" s="691" t="s">
        <v>3483</v>
      </c>
      <c r="D40" s="691"/>
      <c r="E40" s="691"/>
      <c r="F40" s="691"/>
      <c r="G40" s="908"/>
      <c r="H40" s="915">
        <f>+'53-Utility6'!I41</f>
        <v>0</v>
      </c>
    </row>
    <row r="41" spans="2:13" ht="21" customHeight="1">
      <c r="B41" s="691"/>
      <c r="C41" s="691" t="s">
        <v>1006</v>
      </c>
      <c r="D41" s="691"/>
      <c r="E41" s="691"/>
      <c r="F41" s="691"/>
      <c r="G41" s="908"/>
      <c r="H41" s="915">
        <f>+'53-Utility6'!I24</f>
        <v>0</v>
      </c>
    </row>
    <row r="42" spans="2:13" ht="21" customHeight="1">
      <c r="B42" s="691"/>
      <c r="C42" s="691" t="s">
        <v>808</v>
      </c>
      <c r="D42" s="691"/>
      <c r="E42" s="691"/>
      <c r="F42" s="691"/>
      <c r="G42" s="908"/>
      <c r="H42" s="915">
        <f>+'54-Utility6'!I42</f>
        <v>0</v>
      </c>
    </row>
    <row r="43" spans="2:13" ht="21" customHeight="1" thickBot="1">
      <c r="B43" s="691"/>
      <c r="C43" s="691"/>
      <c r="D43" s="691"/>
      <c r="E43" s="691"/>
      <c r="F43" s="691"/>
      <c r="G43" s="1296"/>
      <c r="H43" s="1297"/>
      <c r="I43" s="399"/>
      <c r="M43" s="399"/>
    </row>
    <row r="44" spans="2:13" ht="21" customHeight="1" thickBot="1">
      <c r="B44" s="691"/>
      <c r="C44" s="691" t="s">
        <v>1001</v>
      </c>
      <c r="D44" s="691"/>
      <c r="E44" s="691"/>
      <c r="F44" s="691"/>
      <c r="G44" s="1298">
        <f>SUM(G12:G42)</f>
        <v>0</v>
      </c>
      <c r="H44" s="1299">
        <f>SUM(H12:H43)</f>
        <v>0</v>
      </c>
      <c r="I44" s="399"/>
      <c r="K44" s="399"/>
    </row>
    <row r="45" spans="2:13" ht="13.8" thickTop="1">
      <c r="B45" s="1918" t="s">
        <v>127</v>
      </c>
      <c r="C45" s="1918"/>
      <c r="D45" s="1918"/>
      <c r="E45" s="1918"/>
      <c r="F45" s="1918"/>
      <c r="G45" s="1919"/>
      <c r="H45" s="1919"/>
    </row>
    <row r="46" spans="2:13">
      <c r="B46" s="1301"/>
      <c r="C46" s="1301"/>
      <c r="D46" s="1301"/>
      <c r="E46" s="1301"/>
      <c r="F46" s="1301"/>
      <c r="G46" s="1301"/>
      <c r="H46" s="1301"/>
    </row>
    <row r="47" spans="2:13">
      <c r="B47" s="1301"/>
      <c r="C47" s="1301"/>
      <c r="D47" s="1301"/>
      <c r="E47" s="1301"/>
      <c r="F47" s="1301"/>
      <c r="G47" s="1301"/>
      <c r="H47" s="1301"/>
    </row>
    <row r="48" spans="2:13">
      <c r="B48" s="1301"/>
      <c r="C48" s="1301"/>
      <c r="D48" s="1301"/>
      <c r="E48" s="1301"/>
      <c r="F48" s="1301"/>
      <c r="G48" s="1301"/>
      <c r="H48" s="1301"/>
    </row>
    <row r="49" spans="2:8">
      <c r="B49" s="1301"/>
      <c r="C49" s="1301"/>
      <c r="D49" s="1301"/>
      <c r="E49" s="1301"/>
      <c r="F49" s="1301"/>
      <c r="G49" s="1301"/>
      <c r="H49" s="1301"/>
    </row>
    <row r="50" spans="2:8" ht="13.8">
      <c r="B50" s="1951" t="s">
        <v>3692</v>
      </c>
      <c r="C50" s="1951"/>
      <c r="D50" s="1951"/>
      <c r="E50" s="1951"/>
      <c r="F50" s="1951"/>
      <c r="G50" s="1951"/>
      <c r="H50" s="1951"/>
    </row>
    <row r="55" spans="2:8">
      <c r="H55" s="399"/>
    </row>
  </sheetData>
  <sheetProtection algorithmName="SHA-512" hashValue="Dpahu5GNU+vk56ojD0KbZcUwdWW1vZyScVUQ+t5hsDvFCeAvf9knp9sxpvhG0Ef4Pvt85u90fStl/wCbVaOz1A==" saltValue="semrPHg96zoYaQULotdac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3">
    <tabColor theme="3" tint="0.79998168889431442"/>
  </sheetPr>
  <dimension ref="B1:R49"/>
  <sheetViews>
    <sheetView zoomScaleNormal="100" zoomScaleSheetLayoutView="80" workbookViewId="0">
      <selection activeCell="B1" sqref="B1"/>
    </sheetView>
  </sheetViews>
  <sheetFormatPr defaultColWidth="9.109375" defaultRowHeight="13.2"/>
  <cols>
    <col min="1" max="1" width="4.6640625" style="331" customWidth="1"/>
    <col min="2" max="2" width="4.88671875" style="331" customWidth="1"/>
    <col min="3" max="4" width="4.6640625" style="331" customWidth="1"/>
    <col min="5" max="5" width="30.6640625" style="331" customWidth="1"/>
    <col min="6" max="6" width="15.6640625" style="331" customWidth="1"/>
    <col min="7" max="8" width="16.6640625" style="331" customWidth="1"/>
    <col min="9" max="16384" width="9.109375" style="331"/>
  </cols>
  <sheetData>
    <row r="1" spans="2:18">
      <c r="B1" s="1148"/>
      <c r="C1" s="1148"/>
      <c r="D1" s="1148"/>
      <c r="E1" s="1148"/>
      <c r="F1" s="1148"/>
      <c r="G1" s="1148"/>
      <c r="H1" s="1148"/>
    </row>
    <row r="2" spans="2:18">
      <c r="B2" s="1148"/>
      <c r="C2" s="1148"/>
      <c r="D2" s="1148"/>
      <c r="E2" s="1148"/>
      <c r="F2" s="1148"/>
      <c r="G2" s="1148"/>
      <c r="H2" s="1148"/>
    </row>
    <row r="3" spans="2:18" ht="22.8">
      <c r="B3" s="1783" t="s">
        <v>1044</v>
      </c>
      <c r="C3" s="1783"/>
      <c r="D3" s="1783"/>
      <c r="E3" s="1783"/>
      <c r="F3" s="1783"/>
      <c r="G3" s="1783"/>
      <c r="H3" s="1783"/>
    </row>
    <row r="4" spans="2:18" ht="22.8">
      <c r="B4" s="1783" t="s">
        <v>1045</v>
      </c>
      <c r="C4" s="1783"/>
      <c r="D4" s="1783"/>
      <c r="E4" s="1783"/>
      <c r="F4" s="1783"/>
      <c r="G4" s="1783"/>
      <c r="H4" s="1783"/>
    </row>
    <row r="5" spans="2:18" ht="15.6">
      <c r="B5" s="1784"/>
      <c r="C5" s="1784"/>
      <c r="D5" s="1784"/>
      <c r="E5" s="1784"/>
      <c r="F5" s="1784"/>
      <c r="G5" s="1784"/>
      <c r="H5" s="1784"/>
    </row>
    <row r="6" spans="2:18" ht="13.8">
      <c r="B6" s="1782" t="s">
        <v>1046</v>
      </c>
      <c r="C6" s="1782"/>
      <c r="D6" s="1782"/>
      <c r="E6" s="1782"/>
      <c r="F6" s="1782"/>
      <c r="G6" s="1782"/>
      <c r="H6" s="1782"/>
    </row>
    <row r="7" spans="2:18" ht="13.8">
      <c r="B7" s="1782" t="s">
        <v>1054</v>
      </c>
      <c r="C7" s="1782"/>
      <c r="D7" s="1782"/>
      <c r="E7" s="1782"/>
      <c r="F7" s="1782"/>
      <c r="G7" s="1782"/>
      <c r="H7" s="1782"/>
    </row>
    <row r="8" spans="2:18" ht="13.8">
      <c r="B8" s="1135"/>
      <c r="C8" s="1135"/>
      <c r="D8" s="1135"/>
      <c r="E8" s="1135"/>
      <c r="F8" s="1135"/>
      <c r="G8" s="1135"/>
      <c r="H8" s="1135"/>
    </row>
    <row r="9" spans="2:18" ht="15" customHeight="1" thickBot="1">
      <c r="B9" s="1785" t="str">
        <f>'KEY INPUTS'!D44</f>
        <v>AS  AT  DECEMBER  31, 2019</v>
      </c>
      <c r="C9" s="1784"/>
      <c r="D9" s="1784"/>
      <c r="E9" s="1784"/>
      <c r="F9" s="1784"/>
      <c r="G9" s="1784"/>
      <c r="H9" s="1784"/>
    </row>
    <row r="10" spans="2:18" ht="36" customHeight="1" thickTop="1" thickBot="1">
      <c r="B10" s="1786" t="s">
        <v>124</v>
      </c>
      <c r="C10" s="1786"/>
      <c r="D10" s="1786"/>
      <c r="E10" s="1786"/>
      <c r="F10" s="1787"/>
      <c r="G10" s="1136" t="s">
        <v>125</v>
      </c>
      <c r="H10" s="1137" t="s">
        <v>126</v>
      </c>
    </row>
    <row r="11" spans="2:18" ht="21" customHeight="1" thickTop="1">
      <c r="B11" s="1138" t="s">
        <v>459</v>
      </c>
      <c r="C11" s="1138"/>
      <c r="D11" s="1138"/>
      <c r="E11" s="1138"/>
      <c r="F11" s="1138"/>
      <c r="G11" s="650"/>
      <c r="H11" s="651"/>
      <c r="L11" s="322"/>
      <c r="M11" s="322"/>
      <c r="N11" s="322"/>
      <c r="O11" s="322"/>
      <c r="P11" s="322"/>
      <c r="Q11" s="322"/>
      <c r="R11" s="322"/>
    </row>
    <row r="12" spans="2:18" ht="21" customHeight="1">
      <c r="B12" s="648"/>
      <c r="C12" s="648"/>
      <c r="D12" s="648"/>
      <c r="E12" s="648"/>
      <c r="F12" s="648"/>
      <c r="G12" s="601"/>
      <c r="H12" s="609"/>
      <c r="L12" s="322"/>
      <c r="M12" s="322"/>
      <c r="N12" s="322"/>
      <c r="O12" s="322"/>
      <c r="P12" s="322"/>
      <c r="Q12" s="322"/>
      <c r="R12" s="322"/>
    </row>
    <row r="13" spans="2:18" ht="21" customHeight="1">
      <c r="B13" s="648"/>
      <c r="C13" s="648"/>
      <c r="D13" s="648"/>
      <c r="E13" s="648"/>
      <c r="F13" s="648"/>
      <c r="G13" s="601"/>
      <c r="H13" s="609"/>
      <c r="L13" s="377"/>
      <c r="M13" s="322"/>
      <c r="N13" s="322"/>
      <c r="O13" s="322"/>
      <c r="P13" s="322"/>
      <c r="Q13" s="322"/>
      <c r="R13" s="322"/>
    </row>
    <row r="14" spans="2:18" ht="21" customHeight="1">
      <c r="B14" s="648"/>
      <c r="C14" s="648"/>
      <c r="D14" s="648"/>
      <c r="E14" s="648"/>
      <c r="F14" s="648"/>
      <c r="G14" s="601"/>
      <c r="H14" s="609"/>
      <c r="L14" s="322"/>
      <c r="M14" s="322"/>
      <c r="N14" s="322"/>
      <c r="O14" s="322"/>
      <c r="P14" s="322"/>
      <c r="Q14" s="322"/>
      <c r="R14" s="322"/>
    </row>
    <row r="15" spans="2:18" ht="21" customHeight="1">
      <c r="B15" s="648"/>
      <c r="C15" s="648"/>
      <c r="D15" s="648"/>
      <c r="E15" s="648"/>
      <c r="F15" s="648"/>
      <c r="G15" s="601"/>
      <c r="H15" s="609"/>
      <c r="L15" s="322"/>
      <c r="M15" s="322"/>
      <c r="N15" s="322"/>
      <c r="O15" s="322"/>
      <c r="P15" s="322"/>
      <c r="Q15" s="322"/>
      <c r="R15" s="322"/>
    </row>
    <row r="16" spans="2:18" ht="21" customHeight="1">
      <c r="B16" s="648"/>
      <c r="C16" s="648"/>
      <c r="D16" s="648"/>
      <c r="E16" s="648"/>
      <c r="F16" s="648"/>
      <c r="G16" s="601"/>
      <c r="H16" s="609"/>
      <c r="L16" s="322"/>
      <c r="M16" s="322"/>
      <c r="N16" s="322"/>
      <c r="O16" s="322"/>
      <c r="P16" s="322"/>
      <c r="Q16" s="322"/>
      <c r="R16" s="322"/>
    </row>
    <row r="17" spans="2:18" ht="21" customHeight="1">
      <c r="B17" s="648"/>
      <c r="C17" s="648"/>
      <c r="D17" s="648"/>
      <c r="E17" s="648"/>
      <c r="F17" s="648"/>
      <c r="G17" s="601"/>
      <c r="H17" s="609"/>
      <c r="L17" s="322"/>
      <c r="M17" s="322"/>
      <c r="N17" s="322"/>
      <c r="O17" s="322"/>
      <c r="P17" s="322"/>
      <c r="Q17" s="322"/>
      <c r="R17" s="322"/>
    </row>
    <row r="18" spans="2:18" ht="21" customHeight="1">
      <c r="B18" s="648"/>
      <c r="C18" s="648"/>
      <c r="D18" s="648"/>
      <c r="E18" s="648"/>
      <c r="F18" s="648"/>
      <c r="G18" s="601"/>
      <c r="H18" s="609"/>
      <c r="L18" s="322"/>
      <c r="M18" s="322"/>
      <c r="N18" s="322"/>
      <c r="O18" s="322"/>
      <c r="P18" s="322"/>
      <c r="Q18" s="322"/>
      <c r="R18" s="322"/>
    </row>
    <row r="19" spans="2:18" ht="21" customHeight="1">
      <c r="B19" s="648"/>
      <c r="C19" s="648"/>
      <c r="D19" s="648"/>
      <c r="E19" s="648"/>
      <c r="F19" s="648"/>
      <c r="G19" s="601"/>
      <c r="H19" s="609"/>
      <c r="L19" s="322"/>
      <c r="M19" s="322"/>
      <c r="N19" s="322"/>
      <c r="O19" s="322"/>
      <c r="P19" s="322"/>
      <c r="Q19" s="322"/>
      <c r="R19" s="322"/>
    </row>
    <row r="20" spans="2:18" ht="21" customHeight="1">
      <c r="B20" s="648"/>
      <c r="C20" s="648"/>
      <c r="D20" s="648"/>
      <c r="E20" s="648"/>
      <c r="F20" s="648"/>
      <c r="G20" s="601"/>
      <c r="H20" s="609"/>
      <c r="L20" s="322"/>
      <c r="M20" s="322"/>
      <c r="N20" s="322"/>
      <c r="O20" s="322"/>
      <c r="P20" s="322"/>
      <c r="Q20" s="322"/>
      <c r="R20" s="322"/>
    </row>
    <row r="21" spans="2:18" ht="21" customHeight="1">
      <c r="B21" s="648"/>
      <c r="C21" s="648"/>
      <c r="D21" s="648"/>
      <c r="E21" s="648"/>
      <c r="F21" s="648"/>
      <c r="G21" s="601"/>
      <c r="H21" s="609"/>
      <c r="L21" s="322"/>
      <c r="M21" s="322"/>
      <c r="N21" s="322"/>
      <c r="O21" s="322"/>
      <c r="P21" s="322"/>
      <c r="Q21" s="322"/>
      <c r="R21" s="322"/>
    </row>
    <row r="22" spans="2:18" ht="21" customHeight="1">
      <c r="B22" s="648"/>
      <c r="C22" s="648"/>
      <c r="D22" s="648"/>
      <c r="E22" s="648"/>
      <c r="F22" s="648"/>
      <c r="G22" s="601"/>
      <c r="H22" s="609"/>
      <c r="L22" s="322"/>
      <c r="M22" s="322"/>
      <c r="N22" s="322"/>
      <c r="O22" s="322"/>
      <c r="P22" s="322"/>
      <c r="Q22" s="322"/>
      <c r="R22" s="322"/>
    </row>
    <row r="23" spans="2:18" ht="21" customHeight="1">
      <c r="B23" s="648"/>
      <c r="C23" s="648"/>
      <c r="D23" s="648"/>
      <c r="E23" s="648"/>
      <c r="F23" s="648"/>
      <c r="G23" s="601"/>
      <c r="H23" s="609"/>
      <c r="L23" s="322"/>
      <c r="M23" s="322"/>
      <c r="N23" s="322"/>
      <c r="O23" s="322"/>
      <c r="P23" s="322"/>
      <c r="Q23" s="322"/>
      <c r="R23" s="322"/>
    </row>
    <row r="24" spans="2:18" ht="21" customHeight="1">
      <c r="B24" s="648"/>
      <c r="C24" s="648"/>
      <c r="D24" s="648"/>
      <c r="E24" s="648"/>
      <c r="F24" s="648"/>
      <c r="G24" s="601"/>
      <c r="H24" s="609"/>
      <c r="L24" s="322"/>
      <c r="M24" s="322"/>
      <c r="N24" s="322"/>
      <c r="O24" s="322"/>
      <c r="P24" s="322"/>
      <c r="Q24" s="322"/>
      <c r="R24" s="322"/>
    </row>
    <row r="25" spans="2:18" ht="21" customHeight="1">
      <c r="B25" s="648"/>
      <c r="C25" s="648"/>
      <c r="D25" s="648"/>
      <c r="E25" s="648"/>
      <c r="F25" s="648"/>
      <c r="G25" s="601"/>
      <c r="H25" s="609"/>
      <c r="L25" s="322"/>
      <c r="M25" s="322"/>
      <c r="N25" s="322"/>
      <c r="O25" s="322"/>
      <c r="P25" s="322"/>
      <c r="Q25" s="322"/>
      <c r="R25" s="322"/>
    </row>
    <row r="26" spans="2:18" ht="21" customHeight="1">
      <c r="B26" s="648"/>
      <c r="C26" s="648"/>
      <c r="D26" s="648"/>
      <c r="E26" s="648"/>
      <c r="F26" s="648"/>
      <c r="G26" s="601"/>
      <c r="H26" s="609"/>
      <c r="L26" s="322"/>
      <c r="M26" s="322"/>
      <c r="N26" s="322"/>
      <c r="O26" s="322"/>
      <c r="P26" s="322"/>
      <c r="Q26" s="322"/>
      <c r="R26" s="322"/>
    </row>
    <row r="27" spans="2:18" ht="21" customHeight="1">
      <c r="B27" s="648"/>
      <c r="C27" s="648"/>
      <c r="D27" s="648"/>
      <c r="E27" s="648"/>
      <c r="F27" s="648"/>
      <c r="G27" s="601"/>
      <c r="H27" s="609"/>
      <c r="L27" s="322"/>
      <c r="M27" s="322"/>
      <c r="N27" s="322"/>
      <c r="O27" s="322"/>
      <c r="P27" s="322"/>
      <c r="Q27" s="322"/>
      <c r="R27" s="322"/>
    </row>
    <row r="28" spans="2:18" ht="21" customHeight="1">
      <c r="B28" s="648"/>
      <c r="C28" s="648"/>
      <c r="D28" s="648"/>
      <c r="E28" s="648"/>
      <c r="F28" s="648"/>
      <c r="G28" s="601"/>
      <c r="H28" s="609"/>
    </row>
    <row r="29" spans="2:18" ht="21" customHeight="1">
      <c r="B29" s="648"/>
      <c r="C29" s="648"/>
      <c r="D29" s="648"/>
      <c r="E29" s="648"/>
      <c r="F29" s="648"/>
      <c r="G29" s="601"/>
      <c r="H29" s="609"/>
    </row>
    <row r="30" spans="2:18" ht="21" customHeight="1">
      <c r="B30" s="648"/>
      <c r="C30" s="648"/>
      <c r="D30" s="648"/>
      <c r="E30" s="648"/>
      <c r="F30" s="648"/>
      <c r="G30" s="601"/>
      <c r="H30" s="609"/>
    </row>
    <row r="31" spans="2:18" ht="21" customHeight="1">
      <c r="B31" s="648"/>
      <c r="C31" s="648"/>
      <c r="D31" s="648"/>
      <c r="E31" s="648"/>
      <c r="F31" s="648"/>
      <c r="G31" s="601"/>
      <c r="H31" s="609"/>
    </row>
    <row r="32" spans="2:18" ht="21" customHeight="1">
      <c r="B32" s="648"/>
      <c r="C32" s="648"/>
      <c r="D32" s="648"/>
      <c r="E32" s="648"/>
      <c r="F32" s="648"/>
      <c r="G32" s="601"/>
      <c r="H32" s="609"/>
    </row>
    <row r="33" spans="2:8" ht="21" customHeight="1">
      <c r="B33" s="648"/>
      <c r="C33" s="648"/>
      <c r="D33" s="648"/>
      <c r="E33" s="648"/>
      <c r="F33" s="648"/>
      <c r="G33" s="601"/>
      <c r="H33" s="609"/>
    </row>
    <row r="34" spans="2:8" ht="21" customHeight="1">
      <c r="B34" s="648"/>
      <c r="C34" s="648"/>
      <c r="D34" s="648"/>
      <c r="E34" s="648"/>
      <c r="F34" s="648"/>
      <c r="G34" s="601"/>
      <c r="H34" s="609"/>
    </row>
    <row r="35" spans="2:8" ht="21" customHeight="1">
      <c r="B35" s="648"/>
      <c r="C35" s="648"/>
      <c r="D35" s="648"/>
      <c r="E35" s="648"/>
      <c r="F35" s="648"/>
      <c r="G35" s="601"/>
      <c r="H35" s="609"/>
    </row>
    <row r="36" spans="2:8" ht="21" customHeight="1">
      <c r="B36" s="648"/>
      <c r="C36" s="648"/>
      <c r="D36" s="648"/>
      <c r="E36" s="648"/>
      <c r="F36" s="648"/>
      <c r="G36" s="601"/>
      <c r="H36" s="609"/>
    </row>
    <row r="37" spans="2:8" ht="21" customHeight="1">
      <c r="B37" s="648"/>
      <c r="C37" s="648"/>
      <c r="D37" s="648"/>
      <c r="E37" s="648"/>
      <c r="F37" s="648"/>
      <c r="G37" s="601"/>
      <c r="H37" s="609"/>
    </row>
    <row r="38" spans="2:8" ht="21" customHeight="1">
      <c r="B38" s="1139" t="s">
        <v>3484</v>
      </c>
      <c r="C38" s="1139"/>
      <c r="D38" s="1139"/>
      <c r="E38" s="1139"/>
      <c r="F38" s="1139"/>
      <c r="G38" s="1140"/>
      <c r="H38" s="1128">
        <f>'51-Utility6'!G23</f>
        <v>0</v>
      </c>
    </row>
    <row r="39" spans="2:8" ht="21" customHeight="1">
      <c r="B39" s="1139" t="s">
        <v>3485</v>
      </c>
      <c r="C39" s="1139"/>
      <c r="D39" s="1139"/>
      <c r="E39" s="1139"/>
      <c r="F39" s="1139"/>
      <c r="G39" s="1140"/>
      <c r="H39" s="1128">
        <f>'49-Utility6'!G11</f>
        <v>0</v>
      </c>
    </row>
    <row r="40" spans="2:8" ht="21" customHeight="1">
      <c r="B40" s="1139" t="s">
        <v>1000</v>
      </c>
      <c r="C40" s="1139"/>
      <c r="D40" s="1139"/>
      <c r="E40" s="1139"/>
      <c r="F40" s="1139"/>
      <c r="G40" s="1140"/>
      <c r="H40" s="1128">
        <f>'43-Utility6'!L20</f>
        <v>0</v>
      </c>
    </row>
    <row r="41" spans="2:8" ht="21" customHeight="1">
      <c r="B41" s="648"/>
      <c r="C41" s="648"/>
      <c r="D41" s="648"/>
      <c r="E41" s="648"/>
      <c r="F41" s="648"/>
      <c r="G41" s="601"/>
      <c r="H41" s="609"/>
    </row>
    <row r="42" spans="2:8" ht="21" customHeight="1">
      <c r="B42" s="648"/>
      <c r="C42" s="648"/>
      <c r="D42" s="648"/>
      <c r="E42" s="648"/>
      <c r="F42" s="648"/>
      <c r="G42" s="601"/>
      <c r="H42" s="609"/>
    </row>
    <row r="43" spans="2:8" ht="21" customHeight="1">
      <c r="B43" s="1141" t="s">
        <v>1001</v>
      </c>
      <c r="C43" s="1141"/>
      <c r="D43" s="1141"/>
      <c r="E43" s="1141"/>
      <c r="F43" s="1141"/>
      <c r="G43" s="1107">
        <f>SUM(G11:G42)</f>
        <v>0</v>
      </c>
      <c r="H43" s="1142">
        <f>SUM(H11:H42)</f>
        <v>0</v>
      </c>
    </row>
    <row r="44" spans="2:8">
      <c r="B44" s="1788" t="s">
        <v>127</v>
      </c>
      <c r="C44" s="1788"/>
      <c r="D44" s="1788"/>
      <c r="E44" s="1788"/>
      <c r="F44" s="1788"/>
      <c r="G44" s="1788"/>
      <c r="H44" s="1788"/>
    </row>
    <row r="45" spans="2:8">
      <c r="B45" s="1143"/>
      <c r="C45" s="1143"/>
      <c r="D45" s="1143"/>
      <c r="E45" s="1143"/>
      <c r="F45" s="1143"/>
      <c r="G45" s="1143"/>
      <c r="H45" s="1143"/>
    </row>
    <row r="46" spans="2:8">
      <c r="B46" s="1143"/>
      <c r="C46" s="1143"/>
      <c r="D46" s="1143"/>
      <c r="E46" s="1143"/>
      <c r="F46" s="1143"/>
      <c r="G46" s="1143"/>
      <c r="H46" s="1143"/>
    </row>
    <row r="47" spans="2:8">
      <c r="B47" s="1143"/>
      <c r="C47" s="1143"/>
      <c r="D47" s="1143"/>
      <c r="E47" s="1143"/>
      <c r="F47" s="1143"/>
      <c r="G47" s="1143"/>
      <c r="H47" s="1143"/>
    </row>
    <row r="48" spans="2:8">
      <c r="B48" s="1143"/>
      <c r="C48" s="1143"/>
      <c r="D48" s="1143"/>
      <c r="E48" s="1143"/>
      <c r="F48" s="1143"/>
      <c r="G48" s="1143"/>
      <c r="H48" s="1143"/>
    </row>
    <row r="49" spans="2:8" ht="13.8">
      <c r="B49" s="1781" t="s">
        <v>3417</v>
      </c>
      <c r="C49" s="1781"/>
      <c r="D49" s="1781"/>
      <c r="E49" s="1781"/>
      <c r="F49" s="1781"/>
      <c r="G49" s="1781"/>
      <c r="H49" s="1781"/>
    </row>
  </sheetData>
  <sheetProtection password="CAF9"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4">
    <tabColor theme="3" tint="0.79998168889431442"/>
  </sheetPr>
  <dimension ref="A2:V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0.6640625" style="331" customWidth="1"/>
    <col min="5" max="12" width="15.6640625" style="331" customWidth="1"/>
    <col min="13" max="16384" width="9.109375" style="331"/>
  </cols>
  <sheetData>
    <row r="2" spans="1:22" ht="20.399999999999999">
      <c r="B2" s="1789" t="str">
        <f>"ANALYSIS  OF "&amp;UPPER('KEY INPUTS'!D57)&amp;" UTILITY  ASSESSMENT  TRUST  CASH  AND  INVESTMENTS"</f>
        <v>ANALYSIS  OF  UTILITY  ASSESSMENT  TRUST  CASH  AND  INVESTMENTS</v>
      </c>
      <c r="C2" s="1789"/>
      <c r="D2" s="1789"/>
      <c r="E2" s="1789"/>
      <c r="F2" s="1789"/>
      <c r="G2" s="1789"/>
      <c r="H2" s="1789"/>
      <c r="I2" s="1789"/>
      <c r="J2" s="1789"/>
      <c r="K2" s="1789"/>
      <c r="L2" s="1789"/>
    </row>
    <row r="3" spans="1:22" ht="21" thickBot="1">
      <c r="B3" s="1789" t="s">
        <v>1055</v>
      </c>
      <c r="C3" s="1789"/>
      <c r="D3" s="1789"/>
      <c r="E3" s="1789"/>
      <c r="F3" s="1789"/>
      <c r="G3" s="1789"/>
      <c r="H3" s="1789"/>
      <c r="I3" s="1789"/>
      <c r="J3" s="1789"/>
      <c r="K3" s="1789"/>
      <c r="L3" s="1789"/>
    </row>
    <row r="4" spans="1:22" ht="13.8" thickTop="1">
      <c r="B4" s="1144"/>
      <c r="C4" s="1144"/>
      <c r="D4" s="1144"/>
      <c r="E4" s="1145" t="s">
        <v>671</v>
      </c>
      <c r="F4" s="1144"/>
      <c r="G4" s="1144"/>
      <c r="H4" s="1144"/>
      <c r="I4" s="1144"/>
      <c r="J4" s="1146"/>
      <c r="K4" s="1144"/>
      <c r="L4" s="1147"/>
    </row>
    <row r="5" spans="1:22" ht="15.6">
      <c r="B5" s="1148"/>
      <c r="C5" s="1148" t="s">
        <v>679</v>
      </c>
      <c r="D5" s="1148"/>
      <c r="E5" s="1149" t="s">
        <v>672</v>
      </c>
      <c r="F5" s="1790" t="s">
        <v>673</v>
      </c>
      <c r="G5" s="1791"/>
      <c r="H5" s="1791"/>
      <c r="I5" s="1792"/>
      <c r="J5" s="1150"/>
      <c r="K5" s="1148"/>
      <c r="L5" s="1151" t="s">
        <v>672</v>
      </c>
    </row>
    <row r="6" spans="1:22">
      <c r="B6" s="1148"/>
      <c r="C6" s="1148" t="s">
        <v>680</v>
      </c>
      <c r="D6" s="1148"/>
      <c r="E6" s="1152" t="str">
        <f>'KEY INPUTS'!D45</f>
        <v>Dec. 31, 2018</v>
      </c>
      <c r="F6" s="1149" t="s">
        <v>674</v>
      </c>
      <c r="G6" s="1149" t="s">
        <v>320</v>
      </c>
      <c r="H6" s="1150"/>
      <c r="I6" s="1150"/>
      <c r="J6" s="1150"/>
      <c r="K6" s="1153" t="s">
        <v>678</v>
      </c>
      <c r="L6" s="1154" t="str">
        <f>'KEY INPUTS'!D46</f>
        <v>Dec. 31, 2019</v>
      </c>
    </row>
    <row r="7" spans="1:22" ht="13.8" thickBot="1">
      <c r="B7" s="1155"/>
      <c r="C7" s="1155"/>
      <c r="D7" s="1155"/>
      <c r="E7" s="1156"/>
      <c r="F7" s="1157" t="s">
        <v>675</v>
      </c>
      <c r="G7" s="1157" t="s">
        <v>677</v>
      </c>
      <c r="H7" s="1156"/>
      <c r="I7" s="1156"/>
      <c r="J7" s="1156"/>
      <c r="K7" s="1158"/>
      <c r="L7" s="1159"/>
    </row>
    <row r="8" spans="1:22" ht="21" customHeight="1" thickTop="1">
      <c r="B8" s="1160" t="s">
        <v>782</v>
      </c>
      <c r="C8" s="1160"/>
      <c r="D8" s="1161"/>
      <c r="E8" s="1090" t="s">
        <v>788</v>
      </c>
      <c r="F8" s="1090" t="s">
        <v>788</v>
      </c>
      <c r="G8" s="1090" t="s">
        <v>788</v>
      </c>
      <c r="H8" s="1090" t="s">
        <v>788</v>
      </c>
      <c r="I8" s="1090" t="s">
        <v>788</v>
      </c>
      <c r="J8" s="1090" t="s">
        <v>788</v>
      </c>
      <c r="K8" s="1090" t="s">
        <v>788</v>
      </c>
      <c r="L8" s="869" t="s">
        <v>788</v>
      </c>
      <c r="P8" s="322"/>
      <c r="Q8" s="322"/>
      <c r="R8" s="322"/>
      <c r="S8" s="322"/>
      <c r="T8" s="322"/>
      <c r="U8" s="322"/>
      <c r="V8" s="322"/>
    </row>
    <row r="9" spans="1:22" ht="21" customHeight="1">
      <c r="B9" s="648"/>
      <c r="C9" s="648"/>
      <c r="D9" s="652"/>
      <c r="E9" s="601"/>
      <c r="F9" s="601"/>
      <c r="G9" s="601"/>
      <c r="H9" s="601"/>
      <c r="I9" s="601"/>
      <c r="J9" s="601"/>
      <c r="K9" s="601"/>
      <c r="L9" s="1083">
        <f>+E9+F9+G9+H9+I9+J9-K9</f>
        <v>0</v>
      </c>
      <c r="P9" s="322"/>
      <c r="Q9" s="322"/>
      <c r="R9" s="322"/>
      <c r="S9" s="322"/>
      <c r="T9" s="322"/>
      <c r="U9" s="322"/>
      <c r="V9" s="322"/>
    </row>
    <row r="10" spans="1:22" ht="21" customHeight="1">
      <c r="B10" s="648"/>
      <c r="C10" s="648"/>
      <c r="D10" s="652"/>
      <c r="E10" s="601"/>
      <c r="F10" s="601"/>
      <c r="G10" s="601"/>
      <c r="H10" s="601"/>
      <c r="I10" s="601"/>
      <c r="J10" s="601"/>
      <c r="K10" s="601"/>
      <c r="L10" s="1083">
        <f t="shared" ref="L10:L25" si="0">+E10+F10+G10+H10+I10+J10-K10</f>
        <v>0</v>
      </c>
      <c r="P10" s="377"/>
      <c r="Q10" s="322"/>
      <c r="R10" s="322"/>
      <c r="S10" s="322"/>
      <c r="T10" s="322"/>
      <c r="U10" s="322"/>
      <c r="V10" s="322"/>
    </row>
    <row r="11" spans="1:22" ht="21" customHeight="1">
      <c r="B11" s="648"/>
      <c r="C11" s="648"/>
      <c r="D11" s="652"/>
      <c r="E11" s="601"/>
      <c r="F11" s="601"/>
      <c r="G11" s="601"/>
      <c r="H11" s="601"/>
      <c r="I11" s="601"/>
      <c r="J11" s="601"/>
      <c r="K11" s="601"/>
      <c r="L11" s="1083">
        <f t="shared" si="0"/>
        <v>0</v>
      </c>
      <c r="P11" s="322"/>
      <c r="Q11" s="322"/>
      <c r="R11" s="322"/>
      <c r="S11" s="322"/>
      <c r="T11" s="322"/>
      <c r="U11" s="322"/>
      <c r="V11" s="322"/>
    </row>
    <row r="12" spans="1:22" ht="21" customHeight="1">
      <c r="B12" s="648"/>
      <c r="C12" s="648"/>
      <c r="D12" s="652"/>
      <c r="E12" s="601"/>
      <c r="F12" s="601"/>
      <c r="G12" s="601"/>
      <c r="H12" s="601"/>
      <c r="I12" s="601"/>
      <c r="J12" s="601"/>
      <c r="K12" s="601"/>
      <c r="L12" s="1083">
        <f t="shared" si="0"/>
        <v>0</v>
      </c>
      <c r="P12" s="322"/>
      <c r="Q12" s="322"/>
      <c r="R12" s="322"/>
      <c r="S12" s="322"/>
      <c r="T12" s="322"/>
      <c r="U12" s="322"/>
      <c r="V12" s="322"/>
    </row>
    <row r="13" spans="1:22" ht="21" customHeight="1">
      <c r="B13" s="648"/>
      <c r="C13" s="648"/>
      <c r="D13" s="652"/>
      <c r="E13" s="604"/>
      <c r="F13" s="601"/>
      <c r="G13" s="601"/>
      <c r="H13" s="601"/>
      <c r="I13" s="601"/>
      <c r="J13" s="601"/>
      <c r="K13" s="601"/>
      <c r="L13" s="1083">
        <f t="shared" si="0"/>
        <v>0</v>
      </c>
      <c r="P13" s="322"/>
      <c r="Q13" s="322"/>
      <c r="R13" s="322"/>
      <c r="S13" s="322"/>
      <c r="T13" s="322"/>
      <c r="U13" s="322"/>
      <c r="V13" s="322"/>
    </row>
    <row r="14" spans="1:22" ht="21" customHeight="1">
      <c r="B14" s="1141" t="s">
        <v>783</v>
      </c>
      <c r="C14" s="1141"/>
      <c r="D14" s="1167"/>
      <c r="E14" s="975" t="s">
        <v>788</v>
      </c>
      <c r="F14" s="975" t="s">
        <v>788</v>
      </c>
      <c r="G14" s="975" t="s">
        <v>788</v>
      </c>
      <c r="H14" s="975" t="s">
        <v>788</v>
      </c>
      <c r="I14" s="975" t="s">
        <v>788</v>
      </c>
      <c r="J14" s="975" t="s">
        <v>788</v>
      </c>
      <c r="K14" s="975" t="s">
        <v>788</v>
      </c>
      <c r="L14" s="871" t="s">
        <v>788</v>
      </c>
      <c r="P14" s="322"/>
      <c r="Q14" s="322"/>
      <c r="R14" s="322"/>
      <c r="S14" s="322"/>
      <c r="T14" s="322"/>
      <c r="U14" s="322"/>
      <c r="V14" s="322"/>
    </row>
    <row r="15" spans="1:22" ht="21" customHeight="1">
      <c r="A15" s="1793" t="s">
        <v>3418</v>
      </c>
      <c r="B15" s="648"/>
      <c r="C15" s="648"/>
      <c r="D15" s="652"/>
      <c r="E15" s="601"/>
      <c r="F15" s="601"/>
      <c r="G15" s="601"/>
      <c r="H15" s="601"/>
      <c r="I15" s="601"/>
      <c r="J15" s="601"/>
      <c r="K15" s="601"/>
      <c r="L15" s="1083">
        <f t="shared" si="0"/>
        <v>0</v>
      </c>
      <c r="P15" s="322"/>
      <c r="Q15" s="322"/>
      <c r="R15" s="322"/>
      <c r="S15" s="322"/>
      <c r="T15" s="322"/>
      <c r="U15" s="322"/>
      <c r="V15" s="322"/>
    </row>
    <row r="16" spans="1:22" ht="21" customHeight="1">
      <c r="A16" s="1793"/>
      <c r="B16" s="648"/>
      <c r="C16" s="648"/>
      <c r="D16" s="652"/>
      <c r="E16" s="601"/>
      <c r="F16" s="601"/>
      <c r="G16" s="601"/>
      <c r="H16" s="601"/>
      <c r="I16" s="601"/>
      <c r="J16" s="601"/>
      <c r="K16" s="601"/>
      <c r="L16" s="1083">
        <f t="shared" si="0"/>
        <v>0</v>
      </c>
      <c r="P16" s="322"/>
      <c r="Q16" s="322"/>
      <c r="R16" s="322"/>
      <c r="S16" s="322"/>
      <c r="T16" s="322"/>
      <c r="U16" s="322"/>
      <c r="V16" s="322"/>
    </row>
    <row r="17" spans="1:22" ht="21" customHeight="1">
      <c r="A17" s="1793"/>
      <c r="B17" s="648"/>
      <c r="C17" s="648"/>
      <c r="D17" s="652"/>
      <c r="E17" s="601"/>
      <c r="F17" s="601"/>
      <c r="G17" s="601"/>
      <c r="H17" s="601"/>
      <c r="I17" s="601"/>
      <c r="J17" s="601"/>
      <c r="K17" s="601"/>
      <c r="L17" s="1083">
        <f t="shared" si="0"/>
        <v>0</v>
      </c>
      <c r="P17" s="322"/>
      <c r="Q17" s="322"/>
      <c r="R17" s="322"/>
      <c r="S17" s="322"/>
      <c r="T17" s="322"/>
      <c r="U17" s="322"/>
      <c r="V17" s="322"/>
    </row>
    <row r="18" spans="1:22" ht="21" customHeight="1">
      <c r="B18" s="648"/>
      <c r="C18" s="648"/>
      <c r="D18" s="652"/>
      <c r="E18" s="601"/>
      <c r="F18" s="601"/>
      <c r="G18" s="601"/>
      <c r="H18" s="601"/>
      <c r="I18" s="601"/>
      <c r="J18" s="601"/>
      <c r="K18" s="601"/>
      <c r="L18" s="1083">
        <f t="shared" si="0"/>
        <v>0</v>
      </c>
      <c r="P18" s="322"/>
      <c r="Q18" s="322"/>
      <c r="R18" s="322"/>
      <c r="S18" s="322"/>
      <c r="T18" s="322"/>
      <c r="U18" s="322"/>
      <c r="V18" s="322"/>
    </row>
    <row r="19" spans="1:22" ht="21" customHeight="1">
      <c r="B19" s="1141" t="s">
        <v>784</v>
      </c>
      <c r="C19" s="1141"/>
      <c r="D19" s="1167"/>
      <c r="E19" s="601"/>
      <c r="F19" s="601"/>
      <c r="G19" s="601"/>
      <c r="H19" s="601"/>
      <c r="I19" s="601"/>
      <c r="J19" s="601"/>
      <c r="K19" s="601"/>
      <c r="L19" s="1083">
        <f t="shared" si="0"/>
        <v>0</v>
      </c>
      <c r="P19" s="322"/>
      <c r="Q19" s="322"/>
      <c r="R19" s="322"/>
      <c r="S19" s="322"/>
      <c r="T19" s="322"/>
      <c r="U19" s="322"/>
      <c r="V19" s="322"/>
    </row>
    <row r="20" spans="1:22" ht="21" customHeight="1">
      <c r="B20" s="1141" t="s">
        <v>785</v>
      </c>
      <c r="C20" s="1141"/>
      <c r="D20" s="1167"/>
      <c r="E20" s="601"/>
      <c r="F20" s="601"/>
      <c r="G20" s="601"/>
      <c r="H20" s="601"/>
      <c r="I20" s="601"/>
      <c r="J20" s="601"/>
      <c r="K20" s="601"/>
      <c r="L20" s="1083">
        <f t="shared" si="0"/>
        <v>0</v>
      </c>
      <c r="P20" s="322"/>
      <c r="Q20" s="322"/>
      <c r="R20" s="322"/>
      <c r="S20" s="322"/>
      <c r="T20" s="322"/>
      <c r="U20" s="322"/>
      <c r="V20" s="322"/>
    </row>
    <row r="21" spans="1:22" ht="21" customHeight="1">
      <c r="B21" s="1141" t="s">
        <v>321</v>
      </c>
      <c r="C21" s="1141"/>
      <c r="D21" s="1167"/>
      <c r="E21" s="975" t="s">
        <v>788</v>
      </c>
      <c r="F21" s="975" t="s">
        <v>788</v>
      </c>
      <c r="G21" s="975" t="s">
        <v>788</v>
      </c>
      <c r="H21" s="975" t="s">
        <v>788</v>
      </c>
      <c r="I21" s="975" t="s">
        <v>788</v>
      </c>
      <c r="J21" s="975" t="s">
        <v>788</v>
      </c>
      <c r="K21" s="975" t="s">
        <v>788</v>
      </c>
      <c r="L21" s="871" t="s">
        <v>788</v>
      </c>
      <c r="P21" s="322"/>
      <c r="Q21" s="322"/>
      <c r="R21" s="322"/>
      <c r="S21" s="322"/>
      <c r="T21" s="322"/>
      <c r="U21" s="322"/>
      <c r="V21" s="322"/>
    </row>
    <row r="22" spans="1:22" ht="21" customHeight="1">
      <c r="B22" s="648"/>
      <c r="C22" s="648"/>
      <c r="D22" s="652"/>
      <c r="E22" s="601"/>
      <c r="F22" s="601"/>
      <c r="G22" s="601"/>
      <c r="H22" s="601"/>
      <c r="I22" s="601"/>
      <c r="J22" s="601"/>
      <c r="K22" s="601"/>
      <c r="L22" s="1083">
        <f t="shared" si="0"/>
        <v>0</v>
      </c>
      <c r="P22" s="322"/>
      <c r="Q22" s="322"/>
      <c r="R22" s="322"/>
      <c r="S22" s="322"/>
      <c r="T22" s="322"/>
      <c r="U22" s="322"/>
      <c r="V22" s="322"/>
    </row>
    <row r="23" spans="1:22" ht="21" customHeight="1">
      <c r="B23" s="648"/>
      <c r="C23" s="648"/>
      <c r="D23" s="652"/>
      <c r="E23" s="601"/>
      <c r="F23" s="601"/>
      <c r="G23" s="601"/>
      <c r="H23" s="601"/>
      <c r="I23" s="601"/>
      <c r="J23" s="601"/>
      <c r="K23" s="601"/>
      <c r="L23" s="1083">
        <f t="shared" si="0"/>
        <v>0</v>
      </c>
      <c r="P23" s="322"/>
      <c r="Q23" s="322"/>
      <c r="R23" s="322"/>
      <c r="S23" s="322"/>
      <c r="T23" s="322"/>
      <c r="U23" s="322"/>
      <c r="V23" s="322"/>
    </row>
    <row r="24" spans="1:22" ht="21" customHeight="1">
      <c r="B24" s="648"/>
      <c r="C24" s="648"/>
      <c r="D24" s="652"/>
      <c r="E24" s="601"/>
      <c r="F24" s="601"/>
      <c r="G24" s="601"/>
      <c r="H24" s="601"/>
      <c r="I24" s="601"/>
      <c r="J24" s="601"/>
      <c r="K24" s="601"/>
      <c r="L24" s="1083">
        <f t="shared" si="0"/>
        <v>0</v>
      </c>
      <c r="P24" s="322"/>
      <c r="Q24" s="322"/>
      <c r="R24" s="322"/>
      <c r="S24" s="322"/>
      <c r="T24" s="322"/>
      <c r="U24" s="322"/>
      <c r="V24" s="322"/>
    </row>
    <row r="25" spans="1:22" ht="21" customHeight="1" thickBot="1">
      <c r="B25" s="648"/>
      <c r="C25" s="648"/>
      <c r="D25" s="652"/>
      <c r="E25" s="627"/>
      <c r="F25" s="627"/>
      <c r="G25" s="627"/>
      <c r="H25" s="627"/>
      <c r="I25" s="627"/>
      <c r="J25" s="627"/>
      <c r="K25" s="627"/>
      <c r="L25" s="1162">
        <f t="shared" si="0"/>
        <v>0</v>
      </c>
    </row>
    <row r="26" spans="1:22" ht="21" customHeight="1" thickTop="1" thickBot="1">
      <c r="B26" s="1164"/>
      <c r="C26" s="1164"/>
      <c r="D26" s="1165"/>
      <c r="E26" s="1085">
        <f t="shared" ref="E26:K26" si="1">SUM(E9:E25)</f>
        <v>0</v>
      </c>
      <c r="F26" s="1085">
        <f t="shared" si="1"/>
        <v>0</v>
      </c>
      <c r="G26" s="1085">
        <f t="shared" si="1"/>
        <v>0</v>
      </c>
      <c r="H26" s="1085">
        <f t="shared" si="1"/>
        <v>0</v>
      </c>
      <c r="I26" s="1085">
        <f t="shared" si="1"/>
        <v>0</v>
      </c>
      <c r="J26" s="1085">
        <f t="shared" si="1"/>
        <v>0</v>
      </c>
      <c r="K26" s="1085">
        <f t="shared" si="1"/>
        <v>0</v>
      </c>
      <c r="L26" s="1163">
        <f>SUM(L9:L25)</f>
        <v>0</v>
      </c>
    </row>
    <row r="27" spans="1:22" ht="13.8" thickTop="1">
      <c r="B27" s="1166" t="s">
        <v>787</v>
      </c>
      <c r="C27" s="1148"/>
      <c r="D27" s="1148"/>
      <c r="E27" s="1148"/>
      <c r="F27" s="1148"/>
      <c r="G27" s="1148"/>
      <c r="H27" s="1148"/>
      <c r="I27" s="1148"/>
      <c r="J27" s="1148"/>
      <c r="K27" s="1148"/>
      <c r="L27" s="1148"/>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5">
    <tabColor theme="3" tint="0.79998168889431442"/>
  </sheetPr>
  <dimension ref="B1:T55"/>
  <sheetViews>
    <sheetView zoomScaleNormal="100" zoomScaleSheetLayoutView="80" workbookViewId="0"/>
  </sheetViews>
  <sheetFormatPr defaultColWidth="8.88671875" defaultRowHeight="13.2"/>
  <cols>
    <col min="1" max="1" width="4.6640625" style="398" customWidth="1"/>
    <col min="2" max="3" width="3.6640625" style="398" customWidth="1"/>
    <col min="4" max="4" width="4.6640625" style="398" customWidth="1"/>
    <col min="5" max="5" width="8.88671875" style="398"/>
    <col min="6" max="6" width="16.6640625" style="398" customWidth="1"/>
    <col min="7" max="7" width="8.6640625" style="398" customWidth="1"/>
    <col min="8" max="10" width="16.6640625" style="398" customWidth="1"/>
    <col min="11" max="11" width="8.88671875" style="398"/>
    <col min="12" max="12" width="11.33203125" style="398" bestFit="1" customWidth="1"/>
    <col min="13" max="16384" width="8.88671875" style="398"/>
  </cols>
  <sheetData>
    <row r="1" spans="2:20">
      <c r="B1" s="1116"/>
      <c r="C1" s="1116"/>
      <c r="D1" s="1116"/>
      <c r="E1" s="1116"/>
      <c r="F1" s="1116"/>
      <c r="G1" s="1116"/>
      <c r="H1" s="1116"/>
      <c r="I1" s="1116"/>
      <c r="J1" s="1116"/>
    </row>
    <row r="2" spans="2:20" ht="22.8">
      <c r="B2" s="1760" t="str">
        <f>"SCHEDULE  OF "&amp;UPPER('KEY INPUTS'!D57)&amp;" UTILITY  BUDGET  -  "&amp;TEXT('KEY INPUTS'!D34,"0")&amp;""</f>
        <v>SCHEDULE  OF  UTILITY  BUDGET  -  2019</v>
      </c>
      <c r="C2" s="1760"/>
      <c r="D2" s="1760"/>
      <c r="E2" s="1760"/>
      <c r="F2" s="1760"/>
      <c r="G2" s="1760"/>
      <c r="H2" s="1760"/>
      <c r="I2" s="1760"/>
      <c r="J2" s="1760"/>
    </row>
    <row r="3" spans="2:20" ht="12" customHeight="1">
      <c r="B3" s="1303"/>
      <c r="C3" s="1303"/>
      <c r="D3" s="1303"/>
      <c r="E3" s="1303"/>
      <c r="F3" s="1303"/>
      <c r="G3" s="1303"/>
      <c r="H3" s="1303"/>
      <c r="I3" s="1303"/>
      <c r="J3" s="1303"/>
    </row>
    <row r="4" spans="2:20" ht="17.25" customHeight="1" thickBot="1">
      <c r="B4" s="1920" t="s">
        <v>1056</v>
      </c>
      <c r="C4" s="1920"/>
      <c r="D4" s="1920"/>
      <c r="E4" s="1920"/>
      <c r="F4" s="1920"/>
      <c r="G4" s="1920"/>
      <c r="H4" s="1920"/>
      <c r="I4" s="1920"/>
      <c r="J4" s="1920"/>
    </row>
    <row r="5" spans="2:20" ht="13.8" thickTop="1">
      <c r="B5" s="1921" t="s">
        <v>211</v>
      </c>
      <c r="C5" s="1921"/>
      <c r="D5" s="1921"/>
      <c r="E5" s="1921"/>
      <c r="F5" s="1921"/>
      <c r="G5" s="1886"/>
      <c r="H5" s="1240" t="s">
        <v>677</v>
      </c>
      <c r="I5" s="1240" t="s">
        <v>804</v>
      </c>
      <c r="J5" s="1304" t="s">
        <v>424</v>
      </c>
    </row>
    <row r="6" spans="2:20" ht="13.8" thickBot="1">
      <c r="B6" s="1922"/>
      <c r="C6" s="1922"/>
      <c r="D6" s="1922"/>
      <c r="E6" s="1922"/>
      <c r="F6" s="1922"/>
      <c r="G6" s="1923"/>
      <c r="H6" s="1305"/>
      <c r="I6" s="1305" t="s">
        <v>423</v>
      </c>
      <c r="J6" s="1306" t="s">
        <v>425</v>
      </c>
    </row>
    <row r="7" spans="2:20" ht="21" customHeight="1" thickTop="1">
      <c r="B7" s="1172" t="s">
        <v>3435</v>
      </c>
      <c r="C7" s="1172"/>
      <c r="D7" s="1172"/>
      <c r="E7" s="1172"/>
      <c r="F7" s="1172"/>
      <c r="G7" s="1307" t="s">
        <v>3434</v>
      </c>
      <c r="H7" s="605"/>
      <c r="I7" s="1311">
        <f>H7</f>
        <v>0</v>
      </c>
      <c r="J7" s="1205">
        <f>+I7-H7</f>
        <v>0</v>
      </c>
    </row>
    <row r="8" spans="2:20" ht="10.5" customHeight="1">
      <c r="B8" s="1211" t="s">
        <v>3433</v>
      </c>
      <c r="C8" s="1116"/>
      <c r="D8" s="1116"/>
      <c r="E8" s="1116"/>
      <c r="F8" s="1116"/>
      <c r="G8" s="1308"/>
      <c r="H8" s="1310"/>
      <c r="I8" s="1310"/>
      <c r="J8" s="1120"/>
    </row>
    <row r="9" spans="2:20">
      <c r="B9" s="1130" t="s">
        <v>214</v>
      </c>
      <c r="C9" s="1130"/>
      <c r="D9" s="1130"/>
      <c r="E9" s="1130"/>
      <c r="F9" s="1130"/>
      <c r="G9" s="1309" t="s">
        <v>3432</v>
      </c>
      <c r="H9" s="653"/>
      <c r="I9" s="653"/>
      <c r="J9" s="860">
        <f t="shared" ref="J9:J15" si="0">+I9-H9</f>
        <v>0</v>
      </c>
    </row>
    <row r="10" spans="2:20" ht="21" customHeight="1">
      <c r="B10" s="648"/>
      <c r="C10" s="648"/>
      <c r="D10" s="648"/>
      <c r="E10" s="648"/>
      <c r="F10" s="648"/>
      <c r="G10" s="1168"/>
      <c r="H10" s="782"/>
      <c r="I10" s="782"/>
      <c r="J10" s="1312">
        <f t="shared" si="0"/>
        <v>0</v>
      </c>
      <c r="N10" s="322"/>
      <c r="O10" s="322"/>
      <c r="P10" s="322"/>
      <c r="Q10" s="322"/>
      <c r="R10" s="322"/>
      <c r="S10" s="322"/>
      <c r="T10" s="322"/>
    </row>
    <row r="11" spans="2:20" ht="21" customHeight="1">
      <c r="B11" s="648"/>
      <c r="C11" s="648"/>
      <c r="D11" s="648"/>
      <c r="E11" s="648"/>
      <c r="F11" s="648"/>
      <c r="G11" s="1168"/>
      <c r="H11" s="782"/>
      <c r="I11" s="782"/>
      <c r="J11" s="1126">
        <f t="shared" si="0"/>
        <v>0</v>
      </c>
      <c r="N11" s="322"/>
      <c r="O11" s="322"/>
      <c r="P11" s="322"/>
      <c r="Q11" s="322"/>
      <c r="R11" s="322"/>
      <c r="S11" s="322"/>
      <c r="T11" s="322"/>
    </row>
    <row r="12" spans="2:20" ht="21" customHeight="1">
      <c r="B12" s="648"/>
      <c r="C12" s="648"/>
      <c r="D12" s="648"/>
      <c r="E12" s="648"/>
      <c r="F12" s="648"/>
      <c r="G12" s="1168"/>
      <c r="H12" s="782"/>
      <c r="I12" s="782"/>
      <c r="J12" s="1126">
        <f t="shared" si="0"/>
        <v>0</v>
      </c>
      <c r="N12" s="377"/>
      <c r="O12" s="322"/>
      <c r="P12" s="322"/>
      <c r="Q12" s="322"/>
      <c r="R12" s="322"/>
      <c r="S12" s="322"/>
      <c r="T12" s="322"/>
    </row>
    <row r="13" spans="2:20" ht="21" customHeight="1">
      <c r="B13" s="648"/>
      <c r="C13" s="648"/>
      <c r="D13" s="648"/>
      <c r="E13" s="648"/>
      <c r="F13" s="648"/>
      <c r="G13" s="1168"/>
      <c r="H13" s="782"/>
      <c r="I13" s="782"/>
      <c r="J13" s="1126">
        <f t="shared" si="0"/>
        <v>0</v>
      </c>
      <c r="N13" s="322"/>
      <c r="O13" s="322"/>
      <c r="P13" s="322"/>
      <c r="Q13" s="322"/>
      <c r="R13" s="322"/>
      <c r="S13" s="322"/>
      <c r="T13" s="322"/>
    </row>
    <row r="14" spans="2:20" ht="21" customHeight="1">
      <c r="B14" s="648"/>
      <c r="C14" s="648"/>
      <c r="D14" s="648"/>
      <c r="E14" s="648"/>
      <c r="F14" s="648"/>
      <c r="G14" s="1168"/>
      <c r="H14" s="782"/>
      <c r="I14" s="782"/>
      <c r="J14" s="1126">
        <f t="shared" si="0"/>
        <v>0</v>
      </c>
      <c r="N14" s="322"/>
      <c r="O14" s="322"/>
      <c r="P14" s="322"/>
      <c r="Q14" s="322"/>
      <c r="R14" s="322"/>
      <c r="S14" s="322"/>
      <c r="T14" s="322"/>
    </row>
    <row r="15" spans="2:20" ht="21" customHeight="1">
      <c r="B15" s="691" t="s">
        <v>3431</v>
      </c>
      <c r="C15" s="691"/>
      <c r="D15" s="691"/>
      <c r="E15" s="691"/>
      <c r="F15" s="691"/>
      <c r="G15" s="1309" t="s">
        <v>3427</v>
      </c>
      <c r="H15" s="782"/>
      <c r="I15" s="782"/>
      <c r="J15" s="1126">
        <f t="shared" si="0"/>
        <v>0</v>
      </c>
      <c r="N15" s="322"/>
      <c r="O15" s="322"/>
      <c r="P15" s="322"/>
      <c r="Q15" s="322"/>
      <c r="R15" s="322"/>
      <c r="S15" s="322"/>
      <c r="T15" s="322"/>
    </row>
    <row r="16" spans="2:20" ht="21" customHeight="1">
      <c r="B16" s="691" t="s">
        <v>3430</v>
      </c>
      <c r="C16" s="691"/>
      <c r="D16" s="691"/>
      <c r="E16" s="691"/>
      <c r="F16" s="691"/>
      <c r="G16" s="1309"/>
      <c r="H16" s="782"/>
      <c r="I16" s="782"/>
      <c r="J16" s="1126"/>
      <c r="N16" s="322"/>
      <c r="O16" s="322"/>
      <c r="P16" s="322"/>
      <c r="Q16" s="322"/>
      <c r="R16" s="322"/>
      <c r="S16" s="322"/>
      <c r="T16" s="322"/>
    </row>
    <row r="17" spans="2:20" ht="21" customHeight="1">
      <c r="B17" s="691" t="s">
        <v>422</v>
      </c>
      <c r="C17" s="691"/>
      <c r="D17" s="691"/>
      <c r="E17" s="691"/>
      <c r="F17" s="691"/>
      <c r="G17" s="1309"/>
      <c r="H17" s="1176" t="s">
        <v>788</v>
      </c>
      <c r="I17" s="1176" t="s">
        <v>788</v>
      </c>
      <c r="J17" s="1302" t="s">
        <v>788</v>
      </c>
      <c r="N17" s="322"/>
      <c r="O17" s="322"/>
      <c r="P17" s="322"/>
      <c r="Q17" s="322"/>
      <c r="R17" s="322"/>
      <c r="S17" s="322"/>
      <c r="T17" s="322"/>
    </row>
    <row r="18" spans="2:20" ht="21" customHeight="1">
      <c r="B18" s="648"/>
      <c r="C18" s="648"/>
      <c r="D18" s="648"/>
      <c r="E18" s="648"/>
      <c r="F18" s="648"/>
      <c r="G18" s="648"/>
      <c r="H18" s="601"/>
      <c r="I18" s="601"/>
      <c r="J18" s="609"/>
      <c r="N18" s="322"/>
      <c r="O18" s="322"/>
      <c r="P18" s="322"/>
      <c r="Q18" s="322"/>
      <c r="R18" s="322"/>
      <c r="S18" s="322"/>
      <c r="T18" s="322"/>
    </row>
    <row r="19" spans="2:20" ht="21" customHeight="1" thickBot="1">
      <c r="B19" s="648"/>
      <c r="C19" s="648"/>
      <c r="D19" s="648"/>
      <c r="E19" s="648"/>
      <c r="F19" s="648"/>
      <c r="G19" s="648"/>
      <c r="H19" s="627"/>
      <c r="I19" s="627"/>
      <c r="J19" s="672"/>
      <c r="N19" s="322"/>
      <c r="O19" s="322"/>
      <c r="P19" s="322"/>
      <c r="Q19" s="322"/>
      <c r="R19" s="322"/>
      <c r="S19" s="322"/>
      <c r="T19" s="322"/>
    </row>
    <row r="20" spans="2:20" ht="21" customHeight="1" thickTop="1">
      <c r="B20" s="691"/>
      <c r="C20" s="691"/>
      <c r="D20" s="691" t="s">
        <v>421</v>
      </c>
      <c r="E20" s="691"/>
      <c r="F20" s="691"/>
      <c r="G20" s="1314"/>
      <c r="H20" s="1317">
        <f>SUM(H7:H19)</f>
        <v>0</v>
      </c>
      <c r="I20" s="1317">
        <f>SUM(I7:I19)</f>
        <v>0</v>
      </c>
      <c r="J20" s="860">
        <f>SUM(J7:J19)</f>
        <v>0</v>
      </c>
      <c r="N20" s="322"/>
      <c r="O20" s="322"/>
      <c r="P20" s="322"/>
      <c r="Q20" s="322"/>
      <c r="R20" s="322"/>
      <c r="S20" s="322"/>
      <c r="T20" s="322"/>
    </row>
    <row r="21" spans="2:20" ht="21" customHeight="1" thickBot="1">
      <c r="B21" s="691" t="s">
        <v>3429</v>
      </c>
      <c r="C21" s="1315"/>
      <c r="D21" s="1315"/>
      <c r="E21" s="691"/>
      <c r="F21" s="691"/>
      <c r="G21" s="1309" t="s">
        <v>3428</v>
      </c>
      <c r="H21" s="655"/>
      <c r="I21" s="655"/>
      <c r="J21" s="1120">
        <f>I21-H21</f>
        <v>0</v>
      </c>
      <c r="N21" s="322"/>
      <c r="O21" s="322"/>
      <c r="P21" s="322"/>
      <c r="Q21" s="322"/>
      <c r="R21" s="322"/>
      <c r="S21" s="322"/>
      <c r="T21" s="322"/>
    </row>
    <row r="22" spans="2:20" ht="21" customHeight="1" thickTop="1" thickBot="1">
      <c r="B22" s="1116"/>
      <c r="C22" s="1116"/>
      <c r="D22" s="1116"/>
      <c r="E22" s="1116"/>
      <c r="F22" s="1116"/>
      <c r="G22" s="1316" t="s">
        <v>3427</v>
      </c>
      <c r="H22" s="1318">
        <f>+H20+H21</f>
        <v>0</v>
      </c>
      <c r="I22" s="1318">
        <f>+I20+I21</f>
        <v>0</v>
      </c>
      <c r="J22" s="1313">
        <f>+J20+J21</f>
        <v>0</v>
      </c>
      <c r="L22" s="399" t="s">
        <v>3408</v>
      </c>
      <c r="N22" s="322"/>
      <c r="O22" s="322"/>
      <c r="P22" s="322"/>
      <c r="Q22" s="322"/>
      <c r="R22" s="322"/>
      <c r="S22" s="322"/>
      <c r="T22" s="322"/>
    </row>
    <row r="23" spans="2:20" ht="13.8" thickTop="1">
      <c r="B23" s="427" t="s">
        <v>3426</v>
      </c>
      <c r="N23" s="322"/>
      <c r="O23" s="322"/>
      <c r="P23" s="322"/>
      <c r="Q23" s="322"/>
      <c r="R23" s="322"/>
      <c r="S23" s="322"/>
      <c r="T23" s="322"/>
    </row>
    <row r="24" spans="2:20">
      <c r="B24" s="427" t="s">
        <v>3425</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20" t="s">
        <v>426</v>
      </c>
      <c r="C27" s="1920"/>
      <c r="D27" s="1920"/>
      <c r="E27" s="1920"/>
      <c r="F27" s="1920"/>
      <c r="G27" s="1920"/>
      <c r="H27" s="1920"/>
      <c r="I27" s="1920"/>
      <c r="J27" s="1920"/>
    </row>
    <row r="28" spans="2:20" ht="21" customHeight="1" thickTop="1">
      <c r="B28" s="1319" t="s">
        <v>427</v>
      </c>
      <c r="C28" s="1320"/>
      <c r="D28" s="1320"/>
      <c r="E28" s="1320"/>
      <c r="F28" s="1320"/>
      <c r="G28" s="1320"/>
      <c r="H28" s="1320"/>
      <c r="I28" s="1321"/>
      <c r="J28" s="1322" t="s">
        <v>788</v>
      </c>
    </row>
    <row r="29" spans="2:20" ht="21" customHeight="1">
      <c r="B29" s="1323"/>
      <c r="C29" s="1324" t="s">
        <v>222</v>
      </c>
      <c r="D29" s="1324"/>
      <c r="E29" s="1324"/>
      <c r="F29" s="1324"/>
      <c r="G29" s="1324"/>
      <c r="H29" s="1324"/>
      <c r="I29" s="1325"/>
      <c r="J29" s="656"/>
    </row>
    <row r="30" spans="2:20" ht="21" customHeight="1">
      <c r="B30" s="1323"/>
      <c r="C30" s="1324" t="s">
        <v>428</v>
      </c>
      <c r="D30" s="1324"/>
      <c r="E30" s="1324"/>
      <c r="F30" s="1324"/>
      <c r="G30" s="1324"/>
      <c r="H30" s="1324"/>
      <c r="I30" s="1325"/>
      <c r="J30" s="656"/>
    </row>
    <row r="31" spans="2:20" ht="21" customHeight="1" thickBot="1">
      <c r="B31" s="1323"/>
      <c r="C31" s="1324" t="s">
        <v>429</v>
      </c>
      <c r="D31" s="1324"/>
      <c r="E31" s="1324"/>
      <c r="F31" s="1324"/>
      <c r="G31" s="1324"/>
      <c r="H31" s="1324"/>
      <c r="I31" s="1325"/>
      <c r="J31" s="658"/>
    </row>
    <row r="32" spans="2:20" ht="21" customHeight="1" thickTop="1">
      <c r="B32" s="1323" t="s">
        <v>430</v>
      </c>
      <c r="C32" s="1324"/>
      <c r="D32" s="1324"/>
      <c r="E32" s="1324"/>
      <c r="F32" s="1324"/>
      <c r="G32" s="1324"/>
      <c r="H32" s="1324"/>
      <c r="I32" s="1326"/>
      <c r="J32" s="1327">
        <f>SUM(J29:J31)</f>
        <v>0</v>
      </c>
    </row>
    <row r="33" spans="2:13" ht="21" customHeight="1" thickBot="1">
      <c r="B33" s="1323" t="s">
        <v>431</v>
      </c>
      <c r="C33" s="1324"/>
      <c r="D33" s="1324"/>
      <c r="E33" s="1324"/>
      <c r="F33" s="1324"/>
      <c r="G33" s="1324"/>
      <c r="H33" s="1324"/>
      <c r="I33" s="1326"/>
      <c r="J33" s="658"/>
    </row>
    <row r="34" spans="2:13" ht="21" customHeight="1" thickTop="1">
      <c r="B34" s="1323" t="s">
        <v>917</v>
      </c>
      <c r="C34" s="1324"/>
      <c r="D34" s="1324"/>
      <c r="E34" s="1324"/>
      <c r="F34" s="1324"/>
      <c r="G34" s="1324"/>
      <c r="H34" s="1324"/>
      <c r="I34" s="1326"/>
      <c r="J34" s="1327">
        <f>+J32+J33</f>
        <v>0</v>
      </c>
    </row>
    <row r="35" spans="2:13" ht="21" customHeight="1">
      <c r="B35" s="1323" t="s">
        <v>432</v>
      </c>
      <c r="C35" s="1324"/>
      <c r="D35" s="1324"/>
      <c r="E35" s="1324"/>
      <c r="F35" s="1324"/>
      <c r="G35" s="1324"/>
      <c r="H35" s="1324"/>
      <c r="I35" s="1326"/>
      <c r="J35" s="1328"/>
    </row>
    <row r="36" spans="2:13" ht="21" customHeight="1">
      <c r="B36" s="1330"/>
      <c r="C36" s="1330" t="s">
        <v>754</v>
      </c>
      <c r="D36" s="1330"/>
      <c r="E36" s="1330"/>
      <c r="F36" s="1330"/>
      <c r="G36" s="1330"/>
      <c r="H36" s="1330"/>
      <c r="I36" s="659"/>
      <c r="J36" s="1329"/>
    </row>
    <row r="37" spans="2:13" ht="21" customHeight="1">
      <c r="B37" s="1330"/>
      <c r="C37" s="1330" t="s">
        <v>921</v>
      </c>
      <c r="D37" s="1330"/>
      <c r="E37" s="1330"/>
      <c r="F37" s="1330"/>
      <c r="G37" s="1330"/>
      <c r="H37" s="1330"/>
      <c r="I37" s="659"/>
      <c r="J37" s="1329"/>
    </row>
    <row r="38" spans="2:13" ht="21" customHeight="1" thickBot="1">
      <c r="B38" s="1330" t="s">
        <v>433</v>
      </c>
      <c r="C38" s="1330"/>
      <c r="D38" s="1330"/>
      <c r="E38" s="1330"/>
      <c r="F38" s="1330"/>
      <c r="G38" s="1330"/>
      <c r="H38" s="1330"/>
      <c r="I38" s="660"/>
      <c r="J38" s="656"/>
      <c r="M38" s="399"/>
    </row>
    <row r="39" spans="2:13" ht="21" customHeight="1" thickTop="1" thickBot="1">
      <c r="B39" s="1330" t="s">
        <v>922</v>
      </c>
      <c r="C39" s="1330"/>
      <c r="D39" s="1330"/>
      <c r="E39" s="1330"/>
      <c r="F39" s="1330"/>
      <c r="G39" s="1330"/>
      <c r="H39" s="1330"/>
      <c r="I39" s="1331"/>
      <c r="J39" s="431">
        <f>SUM(I36:I38)</f>
        <v>0</v>
      </c>
    </row>
    <row r="40" spans="2:13" ht="21" customHeight="1" thickTop="1" thickBot="1">
      <c r="B40" s="1330" t="s">
        <v>434</v>
      </c>
      <c r="C40" s="1330"/>
      <c r="D40" s="1330"/>
      <c r="E40" s="1330"/>
      <c r="F40" s="1330"/>
      <c r="G40" s="1330"/>
      <c r="H40" s="1330"/>
      <c r="I40" s="1332"/>
      <c r="J40" s="428">
        <f>+J34-J39</f>
        <v>0</v>
      </c>
      <c r="K40" s="399"/>
    </row>
    <row r="41" spans="2:13" ht="13.8" thickTop="1"/>
    <row r="42" spans="2:13">
      <c r="B42" s="427" t="s">
        <v>3424</v>
      </c>
      <c r="C42" s="427"/>
      <c r="D42" s="427"/>
      <c r="E42" s="427"/>
      <c r="F42" s="427"/>
    </row>
    <row r="43" spans="2:13">
      <c r="B43" s="427"/>
      <c r="C43" s="427" t="s">
        <v>3423</v>
      </c>
      <c r="D43" s="427"/>
      <c r="E43" s="427"/>
      <c r="F43" s="427"/>
    </row>
    <row r="44" spans="2:13">
      <c r="B44" s="427"/>
      <c r="C44" s="427"/>
      <c r="D44" s="427" t="s">
        <v>3422</v>
      </c>
      <c r="E44" s="427"/>
      <c r="F44" s="427"/>
      <c r="M44" s="399"/>
    </row>
    <row r="45" spans="2:13">
      <c r="B45" s="427"/>
      <c r="C45" s="427" t="s">
        <v>43</v>
      </c>
      <c r="D45" s="427"/>
      <c r="E45" s="427"/>
      <c r="F45" s="427"/>
    </row>
    <row r="46" spans="2:13">
      <c r="B46" s="427"/>
      <c r="C46" s="427" t="s">
        <v>3421</v>
      </c>
      <c r="D46" s="427"/>
      <c r="E46" s="427"/>
      <c r="F46" s="427"/>
    </row>
    <row r="47" spans="2:13">
      <c r="B47" s="427"/>
      <c r="C47" s="427"/>
      <c r="D47" s="427" t="s">
        <v>3420</v>
      </c>
      <c r="E47" s="427"/>
      <c r="F47" s="427"/>
    </row>
    <row r="48" spans="2:13">
      <c r="B48" s="427"/>
      <c r="C48" s="427"/>
      <c r="D48" s="427"/>
      <c r="E48" s="427"/>
      <c r="F48" s="427"/>
    </row>
    <row r="55" spans="2:10" ht="13.8">
      <c r="B55" s="1766" t="s">
        <v>3419</v>
      </c>
      <c r="C55" s="1766"/>
      <c r="D55" s="1766"/>
      <c r="E55" s="1766"/>
      <c r="F55" s="1766"/>
      <c r="G55" s="1766"/>
      <c r="H55" s="1766"/>
      <c r="I55" s="1766"/>
      <c r="J55" s="1766"/>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6">
    <tabColor theme="3" tint="0.79998168889431442"/>
  </sheetPr>
  <dimension ref="B1:T57"/>
  <sheetViews>
    <sheetView zoomScaleNormal="100" zoomScaleSheetLayoutView="80" workbookViewId="0">
      <selection activeCell="J31" sqref="J31"/>
    </sheetView>
  </sheetViews>
  <sheetFormatPr defaultColWidth="8.88671875" defaultRowHeight="13.2"/>
  <cols>
    <col min="1" max="1" width="4.6640625" style="398" customWidth="1"/>
    <col min="2" max="2" width="6.109375" style="398" customWidth="1"/>
    <col min="3" max="3" width="3.33203125" style="398" customWidth="1"/>
    <col min="4" max="4" width="2.6640625" style="398" customWidth="1"/>
    <col min="5" max="5" width="8.88671875" style="398"/>
    <col min="6" max="6" width="5.88671875" style="398" customWidth="1"/>
    <col min="7" max="7" width="8.88671875" style="398"/>
    <col min="8" max="8" width="16" style="398" customWidth="1"/>
    <col min="9" max="9" width="8.88671875" style="398"/>
    <col min="10" max="11" width="16.6640625" style="398" customWidth="1"/>
    <col min="12" max="12" width="8.88671875" style="398"/>
    <col min="13" max="13" width="11.33203125" style="398" customWidth="1"/>
    <col min="14" max="16384" width="8.88671875" style="398"/>
  </cols>
  <sheetData>
    <row r="1" spans="2:20">
      <c r="B1" s="777"/>
      <c r="C1" s="1116"/>
      <c r="D1" s="1116"/>
      <c r="E1" s="1116"/>
      <c r="F1" s="1116"/>
      <c r="G1" s="1116"/>
      <c r="H1" s="1116"/>
      <c r="I1" s="1116"/>
      <c r="J1" s="1116"/>
      <c r="K1" s="1116"/>
    </row>
    <row r="2" spans="2:20">
      <c r="B2" s="1116"/>
      <c r="C2" s="1116"/>
      <c r="D2" s="1116"/>
      <c r="E2" s="1116"/>
      <c r="F2" s="1116"/>
      <c r="G2" s="1116"/>
      <c r="H2" s="1116"/>
      <c r="I2" s="1116"/>
      <c r="J2" s="1116"/>
      <c r="K2" s="1116"/>
    </row>
    <row r="3" spans="2:20" ht="22.8">
      <c r="B3" s="1760" t="str">
        <f>"STATEMENT  OF  "&amp;TEXT('KEY INPUTS'!D34,"0")&amp;"  OPERATION"</f>
        <v>STATEMENT  OF  2019  OPERATION</v>
      </c>
      <c r="C3" s="1760"/>
      <c r="D3" s="1760"/>
      <c r="E3" s="1760"/>
      <c r="F3" s="1760"/>
      <c r="G3" s="1760"/>
      <c r="H3" s="1760"/>
      <c r="I3" s="1760"/>
      <c r="J3" s="1760"/>
      <c r="K3" s="1760"/>
    </row>
    <row r="4" spans="2:20">
      <c r="B4" s="1116"/>
      <c r="C4" s="1116"/>
      <c r="D4" s="1116"/>
      <c r="E4" s="1116"/>
      <c r="F4" s="1116"/>
      <c r="G4" s="1116"/>
      <c r="H4" s="1116"/>
      <c r="I4" s="1116"/>
      <c r="J4" s="1116"/>
      <c r="K4" s="1116"/>
    </row>
    <row r="5" spans="2:20" ht="20.399999999999999">
      <c r="B5" s="1789" t="str">
        <f>UPPER('KEY INPUTS'!D57)&amp;" UTILITY"</f>
        <v xml:space="preserve"> UTILITY</v>
      </c>
      <c r="C5" s="1789"/>
      <c r="D5" s="1789"/>
      <c r="E5" s="1789"/>
      <c r="F5" s="1789"/>
      <c r="G5" s="1789"/>
      <c r="H5" s="1789"/>
      <c r="I5" s="1789"/>
      <c r="J5" s="1789"/>
      <c r="K5" s="1789"/>
    </row>
    <row r="6" spans="2:20">
      <c r="B6" s="1116"/>
      <c r="C6" s="1116"/>
      <c r="D6" s="1116"/>
      <c r="E6" s="1116"/>
      <c r="F6" s="1116"/>
      <c r="G6" s="1116"/>
      <c r="H6" s="1116"/>
      <c r="I6" s="1116"/>
      <c r="J6" s="1116"/>
      <c r="K6" s="1116"/>
    </row>
    <row r="7" spans="2:20">
      <c r="B7" s="1116"/>
      <c r="C7" s="1116"/>
      <c r="D7" s="1116"/>
      <c r="E7" s="1116"/>
      <c r="F7" s="1116"/>
      <c r="G7" s="1116"/>
      <c r="H7" s="1116"/>
      <c r="I7" s="1116"/>
      <c r="J7" s="1116"/>
      <c r="K7" s="1116"/>
    </row>
    <row r="8" spans="2:20">
      <c r="B8" s="1116" t="s">
        <v>408</v>
      </c>
      <c r="C8" s="1191" t="str">
        <f>"Section 1 of this sheet is required to be filled out ONLY IF the "&amp;TEXT('KEY INPUTS'!D34,"0")&amp;" "&amp;PROPER('KEY INPUTS'!D57)&amp;" Utility Budget contained"</f>
        <v>Section 1 of this sheet is required to be filled out ONLY IF the 2019  Utility Budget contained</v>
      </c>
      <c r="D8" s="1116"/>
      <c r="E8" s="1116"/>
      <c r="F8" s="1116"/>
      <c r="G8" s="1116"/>
      <c r="H8" s="1116"/>
      <c r="I8" s="1116"/>
      <c r="J8" s="1116"/>
      <c r="K8" s="1116"/>
    </row>
    <row r="9" spans="2:20">
      <c r="B9" s="1116"/>
      <c r="C9" s="1116" t="s">
        <v>435</v>
      </c>
      <c r="D9" s="1116"/>
      <c r="E9" s="1116"/>
      <c r="F9" s="1116"/>
      <c r="G9" s="1116"/>
      <c r="H9" s="1116"/>
      <c r="I9" s="1116"/>
      <c r="J9" s="1116"/>
      <c r="K9" s="1116"/>
    </row>
    <row r="10" spans="2:20">
      <c r="B10" s="1116"/>
      <c r="C10" s="1116" t="s">
        <v>436</v>
      </c>
      <c r="D10" s="1116"/>
      <c r="E10" s="1116"/>
      <c r="F10" s="1116"/>
      <c r="G10" s="1116"/>
      <c r="H10" s="1116"/>
      <c r="I10" s="1116"/>
      <c r="J10" s="1116"/>
      <c r="K10" s="1116"/>
    </row>
    <row r="11" spans="2:20">
      <c r="B11" s="1116"/>
      <c r="C11" s="1169" t="s">
        <v>3439</v>
      </c>
      <c r="D11" s="1116"/>
      <c r="E11" s="1116"/>
      <c r="F11" s="1116"/>
      <c r="G11" s="1116"/>
      <c r="H11" s="1116"/>
      <c r="I11" s="1116"/>
      <c r="J11" s="1116"/>
      <c r="K11" s="1116"/>
    </row>
    <row r="12" spans="2:20">
      <c r="B12" s="1116"/>
      <c r="C12" s="1116"/>
      <c r="D12" s="1116"/>
      <c r="E12" s="1116"/>
      <c r="F12" s="1116"/>
      <c r="G12" s="1116"/>
      <c r="H12" s="1116"/>
      <c r="I12" s="1116"/>
      <c r="J12" s="1116"/>
      <c r="K12" s="1116"/>
    </row>
    <row r="13" spans="2:20" ht="17.399999999999999">
      <c r="B13" s="1170" t="s">
        <v>437</v>
      </c>
      <c r="C13" s="1116"/>
      <c r="D13" s="1116"/>
      <c r="E13" s="1116"/>
      <c r="F13" s="1116"/>
      <c r="G13" s="1116"/>
      <c r="H13" s="1116"/>
      <c r="I13" s="1116"/>
      <c r="J13" s="1116"/>
      <c r="K13" s="1116"/>
    </row>
    <row r="14" spans="2:20" ht="13.8" thickBot="1">
      <c r="B14" s="1171"/>
      <c r="C14" s="1171"/>
      <c r="D14" s="1171"/>
      <c r="E14" s="1171"/>
      <c r="F14" s="1171"/>
      <c r="G14" s="1171"/>
      <c r="H14" s="1171"/>
      <c r="I14" s="1171"/>
      <c r="J14" s="1171"/>
      <c r="K14" s="1171"/>
    </row>
    <row r="15" spans="2:20" ht="21" customHeight="1" thickTop="1">
      <c r="B15" s="1172" t="s">
        <v>438</v>
      </c>
      <c r="C15" s="1172"/>
      <c r="D15" s="1172"/>
      <c r="E15" s="1172"/>
      <c r="F15" s="1172"/>
      <c r="G15" s="1172"/>
      <c r="H15" s="1172"/>
      <c r="I15" s="1172"/>
      <c r="J15" s="1173" t="s">
        <v>788</v>
      </c>
      <c r="K15" s="843"/>
      <c r="N15" s="322"/>
      <c r="O15" s="322"/>
      <c r="P15" s="322"/>
      <c r="Q15" s="322"/>
      <c r="R15" s="322"/>
      <c r="S15" s="322"/>
      <c r="T15" s="322"/>
    </row>
    <row r="16" spans="2:20" ht="21" customHeight="1">
      <c r="B16" s="691"/>
      <c r="C16" s="691" t="s">
        <v>439</v>
      </c>
      <c r="D16" s="691"/>
      <c r="E16" s="691"/>
      <c r="F16" s="691"/>
      <c r="G16" s="691"/>
      <c r="H16" s="691"/>
      <c r="I16" s="691"/>
      <c r="J16" s="844">
        <f>+'44-Utility6'!I20</f>
        <v>0</v>
      </c>
      <c r="K16" s="843"/>
      <c r="N16" s="322"/>
      <c r="O16" s="322"/>
      <c r="P16" s="322"/>
      <c r="Q16" s="322"/>
      <c r="R16" s="322"/>
      <c r="S16" s="322"/>
      <c r="T16" s="322"/>
    </row>
    <row r="17" spans="2:20" ht="21" customHeight="1">
      <c r="B17" s="691"/>
      <c r="C17" s="691" t="s">
        <v>440</v>
      </c>
      <c r="D17" s="691"/>
      <c r="E17" s="691"/>
      <c r="F17" s="691"/>
      <c r="G17" s="691"/>
      <c r="H17" s="691"/>
      <c r="I17" s="691"/>
      <c r="J17" s="575"/>
      <c r="K17" s="843"/>
      <c r="N17" s="377"/>
      <c r="O17" s="322"/>
      <c r="P17" s="322"/>
      <c r="Q17" s="322"/>
      <c r="R17" s="322"/>
      <c r="S17" s="322"/>
      <c r="T17" s="322"/>
    </row>
    <row r="18" spans="2:20" ht="21" customHeight="1">
      <c r="B18" s="691"/>
      <c r="C18" s="916" t="str">
        <f>TEXT('KEY INPUTS'!D35,"0")&amp;" Appropriation Reserves Canceled in "&amp;TEXT('KEY INPUTS'!D34,0)</f>
        <v>2018 Appropriation Reserves Canceled in 2019</v>
      </c>
      <c r="D18" s="1174"/>
      <c r="E18" s="1174"/>
      <c r="F18" s="1174"/>
      <c r="G18" s="1174"/>
      <c r="H18" s="691"/>
      <c r="I18" s="691"/>
      <c r="J18" s="1031">
        <f>J48</f>
        <v>0</v>
      </c>
      <c r="K18" s="843"/>
      <c r="N18" s="322"/>
      <c r="O18" s="322"/>
      <c r="P18" s="322"/>
      <c r="Q18" s="322"/>
      <c r="R18" s="322"/>
      <c r="S18" s="322"/>
      <c r="T18" s="322"/>
    </row>
    <row r="19" spans="2:20" ht="21" customHeight="1">
      <c r="B19" s="691"/>
      <c r="C19" s="648"/>
      <c r="D19" s="648"/>
      <c r="E19" s="648"/>
      <c r="F19" s="648"/>
      <c r="G19" s="648"/>
      <c r="H19" s="648"/>
      <c r="I19" s="648"/>
      <c r="J19" s="374"/>
      <c r="K19" s="843"/>
      <c r="N19" s="322"/>
      <c r="O19" s="322"/>
      <c r="P19" s="322"/>
      <c r="Q19" s="322"/>
      <c r="R19" s="322"/>
      <c r="S19" s="322"/>
      <c r="T19" s="322"/>
    </row>
    <row r="20" spans="2:20" ht="21" customHeight="1">
      <c r="B20" s="691"/>
      <c r="C20" s="648"/>
      <c r="D20" s="648"/>
      <c r="E20" s="648"/>
      <c r="F20" s="648"/>
      <c r="G20" s="648"/>
      <c r="H20" s="648"/>
      <c r="I20" s="648"/>
      <c r="J20" s="374"/>
      <c r="K20" s="843"/>
      <c r="N20" s="322"/>
      <c r="O20" s="322"/>
      <c r="P20" s="322"/>
      <c r="Q20" s="322"/>
      <c r="R20" s="322"/>
      <c r="S20" s="322"/>
      <c r="T20" s="322"/>
    </row>
    <row r="21" spans="2:20" ht="21" customHeight="1">
      <c r="B21" s="691"/>
      <c r="C21" s="691" t="s">
        <v>441</v>
      </c>
      <c r="D21" s="691"/>
      <c r="E21" s="691"/>
      <c r="F21" s="691"/>
      <c r="G21" s="691"/>
      <c r="H21" s="691"/>
      <c r="I21" s="691"/>
      <c r="J21" s="575"/>
      <c r="K21" s="853">
        <f>SUM(J16:J20)</f>
        <v>0</v>
      </c>
      <c r="N21" s="322"/>
      <c r="O21" s="322"/>
      <c r="P21" s="322"/>
      <c r="Q21" s="322"/>
      <c r="R21" s="322"/>
      <c r="S21" s="322"/>
      <c r="T21" s="322"/>
    </row>
    <row r="22" spans="2:20" ht="21" customHeight="1">
      <c r="B22" s="691" t="s">
        <v>442</v>
      </c>
      <c r="C22" s="691"/>
      <c r="D22" s="691"/>
      <c r="E22" s="691"/>
      <c r="F22" s="691"/>
      <c r="G22" s="691"/>
      <c r="H22" s="691"/>
      <c r="I22" s="691"/>
      <c r="J22" s="1176" t="s">
        <v>788</v>
      </c>
      <c r="K22" s="843"/>
      <c r="N22" s="322"/>
      <c r="O22" s="322"/>
      <c r="P22" s="322"/>
      <c r="Q22" s="322"/>
      <c r="R22" s="322"/>
      <c r="S22" s="322"/>
      <c r="T22" s="322"/>
    </row>
    <row r="23" spans="2:20" ht="21" customHeight="1">
      <c r="B23" s="691"/>
      <c r="C23" s="691" t="s">
        <v>443</v>
      </c>
      <c r="D23" s="691"/>
      <c r="E23" s="691"/>
      <c r="F23" s="691"/>
      <c r="G23" s="691"/>
      <c r="H23" s="691"/>
      <c r="I23" s="691"/>
      <c r="J23" s="1176" t="s">
        <v>788</v>
      </c>
      <c r="K23" s="843"/>
      <c r="N23" s="322"/>
      <c r="O23" s="322"/>
      <c r="P23" s="322"/>
      <c r="Q23" s="322"/>
      <c r="R23" s="322"/>
      <c r="S23" s="322"/>
      <c r="T23" s="322"/>
    </row>
    <row r="24" spans="2:20" ht="21" customHeight="1">
      <c r="B24" s="691"/>
      <c r="C24" s="691"/>
      <c r="D24" s="691" t="s">
        <v>754</v>
      </c>
      <c r="E24" s="691"/>
      <c r="F24" s="691"/>
      <c r="G24" s="691"/>
      <c r="H24" s="691"/>
      <c r="I24" s="691"/>
      <c r="J24" s="844">
        <f>+'44-Utility6'!I36</f>
        <v>0</v>
      </c>
      <c r="K24" s="843"/>
      <c r="N24" s="322"/>
      <c r="O24" s="322"/>
      <c r="P24" s="322"/>
      <c r="Q24" s="322"/>
      <c r="R24" s="322"/>
      <c r="S24" s="322"/>
      <c r="T24" s="322"/>
    </row>
    <row r="25" spans="2:20" ht="21" customHeight="1">
      <c r="B25" s="691"/>
      <c r="C25" s="691"/>
      <c r="D25" s="691" t="s">
        <v>921</v>
      </c>
      <c r="E25" s="691"/>
      <c r="F25" s="691"/>
      <c r="G25" s="691"/>
      <c r="H25" s="691"/>
      <c r="I25" s="691"/>
      <c r="J25" s="844">
        <f>+'44-Utility6'!I37</f>
        <v>0</v>
      </c>
      <c r="K25" s="843"/>
      <c r="N25" s="322"/>
      <c r="O25" s="322"/>
      <c r="P25" s="322"/>
      <c r="Q25" s="322"/>
      <c r="R25" s="322"/>
      <c r="S25" s="322"/>
      <c r="T25" s="322"/>
    </row>
    <row r="26" spans="2:20" ht="21" customHeight="1">
      <c r="B26" s="691"/>
      <c r="C26" s="691" t="s">
        <v>444</v>
      </c>
      <c r="D26" s="691"/>
      <c r="E26" s="691"/>
      <c r="F26" s="691"/>
      <c r="G26" s="691"/>
      <c r="H26" s="691"/>
      <c r="I26" s="691"/>
      <c r="J26" s="575"/>
      <c r="K26" s="843"/>
      <c r="N26" s="322"/>
      <c r="O26" s="322"/>
      <c r="P26" s="322"/>
      <c r="Q26" s="322"/>
      <c r="R26" s="322"/>
      <c r="S26" s="322"/>
      <c r="T26" s="322"/>
    </row>
    <row r="27" spans="2:20" ht="21" customHeight="1">
      <c r="B27" s="691"/>
      <c r="C27" s="691" t="s">
        <v>445</v>
      </c>
      <c r="D27" s="691"/>
      <c r="E27" s="691"/>
      <c r="F27" s="691"/>
      <c r="G27" s="691"/>
      <c r="H27" s="691"/>
      <c r="I27" s="691"/>
      <c r="J27" s="575"/>
      <c r="K27" s="843"/>
      <c r="N27" s="322"/>
      <c r="O27" s="322"/>
      <c r="P27" s="322"/>
      <c r="Q27" s="322"/>
      <c r="R27" s="322"/>
      <c r="S27" s="322"/>
      <c r="T27" s="322"/>
    </row>
    <row r="28" spans="2:20" ht="21" customHeight="1" thickBot="1">
      <c r="B28" s="691"/>
      <c r="C28" s="648"/>
      <c r="D28" s="648"/>
      <c r="E28" s="648"/>
      <c r="F28" s="648"/>
      <c r="G28" s="648"/>
      <c r="H28" s="648"/>
      <c r="I28" s="648"/>
      <c r="J28" s="1024"/>
      <c r="K28" s="843"/>
      <c r="N28" s="322"/>
      <c r="O28" s="322"/>
      <c r="P28" s="322"/>
      <c r="Q28" s="322"/>
      <c r="R28" s="322"/>
      <c r="S28" s="322"/>
      <c r="T28" s="322"/>
    </row>
    <row r="29" spans="2:20" ht="21" customHeight="1">
      <c r="B29" s="691"/>
      <c r="C29" s="691"/>
      <c r="D29" s="691"/>
      <c r="E29" s="691"/>
      <c r="F29" s="691" t="s">
        <v>922</v>
      </c>
      <c r="G29" s="691"/>
      <c r="H29" s="691"/>
      <c r="I29" s="691"/>
      <c r="J29" s="850">
        <f>SUM(J24:J28)</f>
        <v>0</v>
      </c>
      <c r="K29" s="843"/>
      <c r="N29" s="322"/>
      <c r="O29" s="322"/>
      <c r="P29" s="322"/>
      <c r="Q29" s="322"/>
      <c r="R29" s="322"/>
      <c r="S29" s="322"/>
      <c r="T29" s="322"/>
    </row>
    <row r="30" spans="2:20" ht="11.25" customHeight="1">
      <c r="B30" s="1116"/>
      <c r="C30" s="1116"/>
      <c r="D30" s="1116"/>
      <c r="E30" s="1116"/>
      <c r="F30" s="1116" t="s">
        <v>950</v>
      </c>
      <c r="G30" s="1116" t="s">
        <v>951</v>
      </c>
      <c r="H30" s="1116"/>
      <c r="I30" s="1116"/>
      <c r="J30" s="1179"/>
      <c r="K30" s="843"/>
      <c r="N30" s="322"/>
      <c r="O30" s="322"/>
      <c r="P30" s="322"/>
      <c r="Q30" s="322"/>
      <c r="R30" s="322"/>
      <c r="S30" s="322"/>
      <c r="T30" s="322"/>
    </row>
    <row r="31" spans="2:20" ht="13.5" customHeight="1">
      <c r="B31" s="1130"/>
      <c r="C31" s="1130"/>
      <c r="D31" s="1130"/>
      <c r="E31" s="1130"/>
      <c r="F31" s="1130"/>
      <c r="G31" s="1130" t="s">
        <v>952</v>
      </c>
      <c r="H31" s="1130"/>
      <c r="I31" s="1180"/>
      <c r="J31" s="1491"/>
      <c r="K31" s="1177"/>
      <c r="N31" s="322"/>
      <c r="O31" s="322"/>
      <c r="P31" s="322"/>
      <c r="Q31" s="322"/>
      <c r="R31" s="322"/>
      <c r="S31" s="322"/>
      <c r="T31" s="322"/>
    </row>
    <row r="32" spans="2:20" ht="21" customHeight="1" thickBot="1">
      <c r="B32" s="1182"/>
      <c r="C32" s="1182"/>
      <c r="D32" s="1182" t="s">
        <v>953</v>
      </c>
      <c r="E32" s="1182"/>
      <c r="F32" s="1182"/>
      <c r="G32" s="1182"/>
      <c r="H32" s="1182"/>
      <c r="I32" s="1182"/>
      <c r="J32" s="1183"/>
      <c r="K32" s="1178">
        <f>+J29-J31</f>
        <v>0</v>
      </c>
    </row>
    <row r="33" spans="2:15" ht="21" customHeight="1" thickTop="1" thickBot="1">
      <c r="B33" s="1184" t="s">
        <v>954</v>
      </c>
      <c r="C33" s="1184"/>
      <c r="D33" s="1184"/>
      <c r="E33" s="1184"/>
      <c r="F33" s="1184"/>
      <c r="G33" s="1184"/>
      <c r="H33" s="1184"/>
      <c r="I33" s="1184"/>
      <c r="J33" s="1185"/>
      <c r="K33" s="1186">
        <f>IF(M33&gt;0,M33,0)</f>
        <v>0</v>
      </c>
      <c r="M33" s="399">
        <f>+K21-K32</f>
        <v>0</v>
      </c>
      <c r="N33" s="711" t="s">
        <v>3668</v>
      </c>
    </row>
    <row r="34" spans="2:15" ht="21" customHeight="1">
      <c r="B34" s="691" t="s">
        <v>955</v>
      </c>
      <c r="C34" s="691"/>
      <c r="D34" s="691"/>
      <c r="E34" s="691"/>
      <c r="F34" s="691"/>
      <c r="G34" s="691"/>
      <c r="H34" s="691"/>
      <c r="I34" s="691"/>
      <c r="J34" s="575"/>
      <c r="K34" s="843"/>
    </row>
    <row r="35" spans="2:15" ht="11.25" customHeight="1">
      <c r="B35" s="1801" t="s">
        <v>956</v>
      </c>
      <c r="C35" s="1801"/>
      <c r="D35" s="1801"/>
      <c r="E35" s="1191" t="str">
        <f>"Balance of Results of "&amp;TEXT('KEY INPUTS'!D34,"0")&amp;" Operation"</f>
        <v>Balance of Results of 2019 Operation</v>
      </c>
      <c r="F35" s="1116"/>
      <c r="G35" s="1116"/>
      <c r="H35" s="1116"/>
      <c r="I35" s="1116"/>
      <c r="J35" s="1179"/>
      <c r="K35" s="843"/>
    </row>
    <row r="36" spans="2:15" ht="12.75" customHeight="1" thickBot="1">
      <c r="B36" s="1802"/>
      <c r="C36" s="1802"/>
      <c r="D36" s="1802"/>
      <c r="E36" s="1130" t="s">
        <v>3784</v>
      </c>
      <c r="F36" s="1130"/>
      <c r="G36" s="1130"/>
      <c r="H36" s="1130"/>
      <c r="I36" s="1130"/>
      <c r="J36" s="1181">
        <f>+K33-J34</f>
        <v>0</v>
      </c>
      <c r="K36" s="843"/>
    </row>
    <row r="37" spans="2:15" ht="21" customHeight="1" thickBot="1">
      <c r="B37" s="1192"/>
      <c r="C37" s="1192"/>
      <c r="D37" s="1192"/>
      <c r="E37" s="1192"/>
      <c r="F37" s="1192"/>
      <c r="G37" s="1192"/>
      <c r="H37" s="1192"/>
      <c r="I37" s="1192"/>
      <c r="J37" s="1195"/>
      <c r="K37" s="1187"/>
    </row>
    <row r="38" spans="2:15" ht="21" customHeight="1" thickBot="1">
      <c r="B38" s="1193" t="s">
        <v>957</v>
      </c>
      <c r="C38" s="1193"/>
      <c r="D38" s="1193"/>
      <c r="E38" s="1193"/>
      <c r="F38" s="1193"/>
      <c r="G38" s="1193"/>
      <c r="H38" s="1193"/>
      <c r="I38" s="1193"/>
      <c r="J38" s="1196"/>
      <c r="K38" s="1188">
        <f>IF(+M33&gt;0,0,+M33*-1)</f>
        <v>0</v>
      </c>
    </row>
    <row r="39" spans="2:15" ht="21" customHeight="1">
      <c r="B39" s="691" t="s">
        <v>958</v>
      </c>
      <c r="C39" s="691"/>
      <c r="D39" s="691"/>
      <c r="E39" s="691"/>
      <c r="F39" s="691"/>
      <c r="G39" s="691"/>
      <c r="H39" s="691"/>
      <c r="I39" s="691"/>
      <c r="J39" s="1196">
        <f>+'44-Utility6'!I21</f>
        <v>0</v>
      </c>
      <c r="K39" s="843"/>
    </row>
    <row r="40" spans="2:15">
      <c r="B40" s="1803" t="s">
        <v>956</v>
      </c>
      <c r="C40" s="1803"/>
      <c r="D40" s="1803"/>
      <c r="E40" s="1191" t="str">
        <f>"Balance of Results of "&amp;TEXT('KEY INPUTS'!D34,"0")&amp;" Operation"</f>
        <v>Balance of Results of 2019 Operation</v>
      </c>
      <c r="F40" s="1194"/>
      <c r="G40" s="1194"/>
      <c r="H40" s="1194"/>
      <c r="I40" s="1194"/>
      <c r="J40" s="1179"/>
      <c r="K40" s="1189"/>
    </row>
    <row r="41" spans="2:15" ht="13.8" thickBot="1">
      <c r="B41" s="1804"/>
      <c r="C41" s="1804"/>
      <c r="D41" s="1804"/>
      <c r="E41" s="1171" t="s">
        <v>3438</v>
      </c>
      <c r="F41" s="1171"/>
      <c r="G41" s="1171"/>
      <c r="H41" s="1171"/>
      <c r="I41" s="1171"/>
      <c r="J41" s="1197">
        <f>+K38-J39</f>
        <v>0</v>
      </c>
      <c r="K41" s="1190"/>
      <c r="L41" s="740"/>
      <c r="O41" s="399"/>
    </row>
    <row r="42" spans="2:15" ht="13.8" thickTop="1">
      <c r="J42" s="464"/>
      <c r="K42" s="464"/>
    </row>
    <row r="43" spans="2:15" ht="17.399999999999999">
      <c r="B43" s="1170" t="s">
        <v>959</v>
      </c>
      <c r="C43" s="1116"/>
      <c r="D43" s="1116"/>
      <c r="E43" s="1116"/>
      <c r="F43" s="1116"/>
      <c r="G43" s="1116"/>
      <c r="H43" s="1116"/>
      <c r="I43" s="1116"/>
      <c r="J43" s="843"/>
      <c r="K43" s="843"/>
    </row>
    <row r="44" spans="2:15">
      <c r="B44" s="1191" t="str">
        <f>"The following Item of '"&amp;TEXT('KEY INPUTS'!D35,"0")&amp;" Appropriation Reserves Canceled in "&amp;TEXT('KEY INPUTS'!D34,"0")&amp;"' ""is Due to the Current Fund TO THE"</f>
        <v>The following Item of '2018 Appropriation Reserves Canceled in 2019' "is Due to the Current Fund TO THE</v>
      </c>
      <c r="C44" s="1116"/>
      <c r="D44" s="1116"/>
      <c r="E44" s="1116"/>
      <c r="F44" s="1116"/>
      <c r="G44" s="1116"/>
      <c r="H44" s="1116"/>
      <c r="I44" s="1116"/>
      <c r="J44" s="843"/>
      <c r="K44" s="843"/>
    </row>
    <row r="45" spans="2:15">
      <c r="B45" s="1191" t="str">
        <f>"EXTENT OF the amount received and Due from the General Budget of "&amp;TEXT('KEY INPUTS'!D34,"0")&amp;" for an Anticipated Deficit in the"</f>
        <v>EXTENT OF the amount received and Due from the General Budget of 2019 for an Anticipated Deficit in the</v>
      </c>
      <c r="C45" s="1116"/>
      <c r="D45" s="1116"/>
      <c r="E45" s="1116"/>
      <c r="F45" s="1116"/>
      <c r="G45" s="1116"/>
      <c r="H45" s="1116"/>
      <c r="I45" s="1116"/>
      <c r="J45" s="843"/>
      <c r="K45" s="843"/>
    </row>
    <row r="46" spans="2:15">
      <c r="B46" s="1191" t="str">
        <f>PROPER('KEY INPUTS'!D57)&amp;" Utility for "&amp;TEXT('KEY INPUTS'!D34,"0")&amp;""</f>
        <v xml:space="preserve"> Utility for 2019</v>
      </c>
      <c r="C46" s="1116"/>
      <c r="D46" s="1116"/>
      <c r="E46" s="1116"/>
      <c r="F46" s="1116"/>
      <c r="G46" s="1116"/>
      <c r="H46" s="1116"/>
      <c r="I46" s="1116"/>
      <c r="J46" s="843"/>
      <c r="K46" s="843"/>
      <c r="O46" s="322"/>
    </row>
    <row r="47" spans="2:15">
      <c r="B47" s="1116"/>
      <c r="C47" s="1116"/>
      <c r="D47" s="1116"/>
      <c r="E47" s="1116"/>
      <c r="F47" s="1116"/>
      <c r="G47" s="1116"/>
      <c r="H47" s="1116"/>
      <c r="I47" s="1116"/>
      <c r="J47" s="843"/>
      <c r="K47" s="843"/>
      <c r="O47" s="322"/>
    </row>
    <row r="48" spans="2:15" ht="21" customHeight="1">
      <c r="B48" s="916" t="str">
        <f>TEXT('KEY INPUTS'!D35,"0")&amp;" Appropriation Reserves Canceled in "&amp;TEXT('KEY INPUTS'!D34,0)</f>
        <v>2018 Appropriation Reserves Canceled in 2019</v>
      </c>
      <c r="C48" s="691"/>
      <c r="D48" s="691"/>
      <c r="E48" s="691"/>
      <c r="F48" s="691"/>
      <c r="G48" s="691"/>
      <c r="H48" s="691"/>
      <c r="I48" s="691"/>
      <c r="J48" s="374"/>
      <c r="K48" s="843"/>
      <c r="O48" s="322"/>
    </row>
    <row r="49" spans="2:15" ht="24" customHeight="1">
      <c r="B49" s="691"/>
      <c r="C49" s="1198" t="s">
        <v>950</v>
      </c>
      <c r="D49" s="691"/>
      <c r="E49" s="1799" t="str">
        <f>"Anticipated Deficit in "&amp;TEXT('KEY INPUTS'!D34,"0")&amp;" Budget - Amount Received and Due from Current Fund - If none, enter 'None '"""</f>
        <v>Anticipated Deficit in 2019 Budget - Amount Received and Due from Current Fund - If none, enter 'None '"</v>
      </c>
      <c r="F49" s="1799"/>
      <c r="G49" s="1799"/>
      <c r="H49" s="1799"/>
      <c r="I49" s="1800"/>
      <c r="J49" s="575"/>
      <c r="K49" s="843"/>
      <c r="O49" s="322"/>
    </row>
    <row r="50" spans="2:15" ht="21" customHeight="1">
      <c r="B50" s="691" t="s">
        <v>960</v>
      </c>
      <c r="C50" s="691"/>
      <c r="D50" s="691"/>
      <c r="E50" s="691"/>
      <c r="F50" s="691"/>
      <c r="G50" s="691"/>
      <c r="H50" s="691"/>
      <c r="I50" s="691"/>
      <c r="J50" s="664"/>
      <c r="K50" s="853">
        <f>+J48-J49</f>
        <v>0</v>
      </c>
    </row>
    <row r="52" spans="2:15">
      <c r="B52" s="463" t="s">
        <v>3437</v>
      </c>
    </row>
    <row r="53" spans="2:15">
      <c r="B53" s="463"/>
    </row>
    <row r="54" spans="2:15">
      <c r="B54" s="463"/>
    </row>
    <row r="55" spans="2:15">
      <c r="B55" s="463"/>
    </row>
    <row r="56" spans="2:15">
      <c r="B56" s="463"/>
    </row>
    <row r="57" spans="2:15" ht="13.8">
      <c r="B57" s="1766" t="s">
        <v>3436</v>
      </c>
      <c r="C57" s="1766"/>
      <c r="D57" s="1766"/>
      <c r="E57" s="1766"/>
      <c r="F57" s="1766"/>
      <c r="G57" s="1766"/>
      <c r="H57" s="1766"/>
      <c r="I57" s="1766"/>
      <c r="J57" s="1766"/>
      <c r="K57" s="1766"/>
    </row>
  </sheetData>
  <sheetProtection password="CAF9"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7">
    <tabColor theme="3" tint="0.79998168889431442"/>
  </sheetPr>
  <dimension ref="B2:Z52"/>
  <sheetViews>
    <sheetView zoomScaleNormal="100" zoomScaleSheetLayoutView="80" workbookViewId="0">
      <selection activeCell="B1" sqref="B1"/>
    </sheetView>
  </sheetViews>
  <sheetFormatPr defaultColWidth="8.88671875" defaultRowHeight="13.2"/>
  <cols>
    <col min="1" max="5" width="4.6640625" style="398" customWidth="1"/>
    <col min="6" max="8" width="8.88671875" style="398"/>
    <col min="9" max="9" width="6.33203125" style="398" customWidth="1"/>
    <col min="10" max="10" width="8.88671875" style="398"/>
    <col min="11" max="12" width="16.6640625" style="398" customWidth="1"/>
    <col min="13" max="13" width="13.5546875" style="398" bestFit="1" customWidth="1"/>
    <col min="14" max="14" width="11.88671875" style="398" bestFit="1" customWidth="1"/>
    <col min="15" max="16384" width="8.88671875" style="398"/>
  </cols>
  <sheetData>
    <row r="2" spans="2:26" ht="20.399999999999999">
      <c r="B2" s="1789" t="str">
        <f>"RESULTS  OF  "&amp;TEXT('KEY INPUTS'!D34,"0")&amp;"  OPERATIONS  - "&amp;UPPER('KEY INPUTS'!D57)&amp;" UTILITY"</f>
        <v>RESULTS  OF  2019  OPERATIONS  -  UTILITY</v>
      </c>
      <c r="C2" s="1789"/>
      <c r="D2" s="1789"/>
      <c r="E2" s="1789"/>
      <c r="F2" s="1789"/>
      <c r="G2" s="1789"/>
      <c r="H2" s="1789"/>
      <c r="I2" s="1789"/>
      <c r="J2" s="1789"/>
      <c r="K2" s="1789"/>
      <c r="L2" s="1789"/>
    </row>
    <row r="3" spans="2:26" ht="13.8" thickBot="1">
      <c r="B3" s="1116"/>
      <c r="C3" s="1116"/>
      <c r="D3" s="1116"/>
      <c r="E3" s="1116"/>
      <c r="F3" s="1116"/>
      <c r="G3" s="1116"/>
      <c r="H3" s="1116"/>
      <c r="I3" s="1116"/>
      <c r="J3" s="1116"/>
      <c r="K3" s="1116"/>
      <c r="L3" s="1116"/>
    </row>
    <row r="4" spans="2:26" ht="21" customHeight="1" thickTop="1" thickBot="1">
      <c r="B4" s="1335"/>
      <c r="C4" s="1335"/>
      <c r="D4" s="1335"/>
      <c r="E4" s="1335"/>
      <c r="F4" s="1335"/>
      <c r="G4" s="1335"/>
      <c r="H4" s="1335"/>
      <c r="I4" s="1335"/>
      <c r="J4" s="1335"/>
      <c r="K4" s="1117" t="s">
        <v>125</v>
      </c>
      <c r="L4" s="1118" t="s">
        <v>126</v>
      </c>
    </row>
    <row r="5" spans="2:26" ht="21" customHeight="1" thickTop="1">
      <c r="B5" s="1212" t="s">
        <v>270</v>
      </c>
      <c r="C5" s="1172"/>
      <c r="D5" s="1172"/>
      <c r="E5" s="1172"/>
      <c r="F5" s="1172"/>
      <c r="G5" s="1172"/>
      <c r="H5" s="1172"/>
      <c r="I5" s="1172"/>
      <c r="J5" s="1172"/>
      <c r="K5" s="1204" t="s">
        <v>788</v>
      </c>
      <c r="L5" s="639">
        <f>IF(+'44-Utility6'!J20&gt;0,+'44-Utility6'!J22,0)</f>
        <v>0</v>
      </c>
      <c r="N5" s="322"/>
      <c r="O5" s="322"/>
      <c r="P5" s="322"/>
      <c r="Q5" s="322"/>
      <c r="R5" s="322"/>
      <c r="S5" s="322"/>
      <c r="T5" s="322"/>
    </row>
    <row r="6" spans="2:26" ht="21" customHeight="1">
      <c r="B6" s="697" t="s">
        <v>271</v>
      </c>
      <c r="C6" s="691"/>
      <c r="D6" s="691"/>
      <c r="E6" s="691"/>
      <c r="F6" s="691"/>
      <c r="G6" s="691"/>
      <c r="H6" s="691"/>
      <c r="I6" s="691"/>
      <c r="J6" s="691"/>
      <c r="K6" s="1206" t="s">
        <v>788</v>
      </c>
      <c r="L6" s="1126">
        <f>+'44-Utility6'!J40</f>
        <v>0</v>
      </c>
      <c r="M6" s="740"/>
      <c r="N6" s="322"/>
      <c r="O6" s="322"/>
      <c r="P6" s="322"/>
      <c r="Q6" s="322"/>
      <c r="R6" s="322"/>
      <c r="S6" s="322"/>
      <c r="T6" s="322"/>
    </row>
    <row r="7" spans="2:26" ht="21" customHeight="1">
      <c r="B7" s="697" t="s">
        <v>272</v>
      </c>
      <c r="C7" s="691"/>
      <c r="D7" s="691"/>
      <c r="E7" s="691"/>
      <c r="F7" s="691"/>
      <c r="G7" s="691"/>
      <c r="H7" s="691"/>
      <c r="I7" s="691"/>
      <c r="J7" s="691"/>
      <c r="K7" s="1206" t="s">
        <v>788</v>
      </c>
      <c r="L7" s="1126">
        <f>'45-Utility6'!J17</f>
        <v>0</v>
      </c>
      <c r="N7" s="377"/>
      <c r="O7" s="322"/>
      <c r="P7" s="322"/>
      <c r="Q7" s="322"/>
      <c r="R7" s="322"/>
      <c r="S7" s="322"/>
      <c r="T7" s="322"/>
    </row>
    <row r="8" spans="2:26" ht="21" customHeight="1">
      <c r="B8" s="1116" t="str">
        <f>"Unexpended Balances of "&amp;TEXT('KEY INPUTS'!D35,"0")&amp;" Appropriations*"</f>
        <v>Unexpended Balances of 2018 Appropriations*</v>
      </c>
      <c r="C8" s="691"/>
      <c r="D8" s="691"/>
      <c r="E8" s="691"/>
      <c r="F8" s="691"/>
      <c r="G8" s="691"/>
      <c r="H8" s="691"/>
      <c r="I8" s="691"/>
      <c r="J8" s="691"/>
      <c r="K8" s="1206" t="s">
        <v>788</v>
      </c>
      <c r="L8" s="1126">
        <f>+'45-Utility6'!K50</f>
        <v>0</v>
      </c>
      <c r="N8" s="322"/>
      <c r="O8" s="322"/>
      <c r="P8" s="322"/>
      <c r="Q8" s="322"/>
      <c r="R8" s="322"/>
      <c r="S8" s="322"/>
      <c r="T8" s="322"/>
    </row>
    <row r="9" spans="2:26" ht="21" customHeight="1">
      <c r="B9" s="706"/>
      <c r="C9" s="648"/>
      <c r="D9" s="648"/>
      <c r="E9" s="648"/>
      <c r="F9" s="648"/>
      <c r="G9" s="648"/>
      <c r="H9" s="648"/>
      <c r="I9" s="691"/>
      <c r="J9" s="691"/>
      <c r="K9" s="659"/>
      <c r="L9" s="609"/>
      <c r="N9" s="322"/>
      <c r="O9" s="322"/>
      <c r="P9" s="322"/>
      <c r="Q9" s="322"/>
      <c r="R9" s="322"/>
      <c r="S9" s="322"/>
      <c r="T9" s="322"/>
    </row>
    <row r="10" spans="2:26" ht="21" customHeight="1">
      <c r="B10" s="1116" t="s">
        <v>3443</v>
      </c>
      <c r="C10" s="1116"/>
      <c r="D10" s="1116"/>
      <c r="E10" s="1116"/>
      <c r="F10" s="1116"/>
      <c r="G10" s="1116"/>
      <c r="H10" s="1116"/>
      <c r="I10" s="1116"/>
      <c r="J10" s="1116"/>
      <c r="K10" s="1200"/>
      <c r="L10" s="1208" t="s">
        <v>788</v>
      </c>
      <c r="M10" s="399">
        <f>+L9+L8+L7+L6+L5-K11-K10-K9</f>
        <v>0</v>
      </c>
      <c r="N10" s="711" t="s">
        <v>3668</v>
      </c>
      <c r="O10" s="322"/>
      <c r="P10" s="322"/>
      <c r="Q10" s="322"/>
      <c r="R10" s="322"/>
      <c r="S10" s="322"/>
      <c r="T10" s="322"/>
      <c r="V10" s="477">
        <f>-'44-Utility6'!U22</f>
        <v>0</v>
      </c>
    </row>
    <row r="11" spans="2:26" ht="21" customHeight="1">
      <c r="B11" s="703"/>
      <c r="C11" s="1201"/>
      <c r="D11" s="648"/>
      <c r="E11" s="648"/>
      <c r="F11" s="648"/>
      <c r="G11" s="648"/>
      <c r="H11" s="648"/>
      <c r="I11" s="691"/>
      <c r="J11" s="691"/>
      <c r="K11" s="601"/>
      <c r="L11" s="1208" t="s">
        <v>788</v>
      </c>
      <c r="N11" s="322"/>
      <c r="O11" s="322"/>
      <c r="P11" s="322"/>
      <c r="Q11" s="322"/>
      <c r="R11" s="322"/>
      <c r="S11" s="322"/>
      <c r="T11" s="322"/>
      <c r="U11" s="322"/>
      <c r="V11" s="322"/>
      <c r="W11" s="322"/>
      <c r="X11" s="322"/>
      <c r="Y11" s="322"/>
      <c r="Z11" s="322"/>
    </row>
    <row r="12" spans="2:26" ht="21" customHeight="1">
      <c r="B12" s="697" t="s">
        <v>273</v>
      </c>
      <c r="C12" s="1174"/>
      <c r="D12" s="691"/>
      <c r="E12" s="691"/>
      <c r="F12" s="691"/>
      <c r="G12" s="691"/>
      <c r="H12" s="691"/>
      <c r="I12" s="691"/>
      <c r="J12" s="691"/>
      <c r="K12" s="1206" t="s">
        <v>788</v>
      </c>
      <c r="L12" s="1207">
        <f>IF(M10&gt;0,0,M10*-1)</f>
        <v>0</v>
      </c>
      <c r="N12" s="322"/>
      <c r="O12" s="322"/>
      <c r="P12" s="322"/>
      <c r="Q12" s="322"/>
      <c r="R12" s="322"/>
      <c r="S12" s="322"/>
      <c r="T12" s="322"/>
      <c r="U12" s="322"/>
      <c r="V12" s="322"/>
      <c r="W12" s="322"/>
      <c r="X12" s="322"/>
      <c r="Y12" s="322"/>
      <c r="Z12" s="322"/>
    </row>
    <row r="13" spans="2:26" ht="21" customHeight="1" thickBot="1">
      <c r="B13" s="697" t="s">
        <v>274</v>
      </c>
      <c r="C13" s="1174"/>
      <c r="D13" s="691"/>
      <c r="E13" s="691"/>
      <c r="F13" s="691"/>
      <c r="G13" s="691"/>
      <c r="H13" s="691"/>
      <c r="I13" s="691"/>
      <c r="J13" s="691"/>
      <c r="K13" s="690">
        <f>IF(M10&gt;0,M10,0)</f>
        <v>0</v>
      </c>
      <c r="L13" s="1209" t="s">
        <v>788</v>
      </c>
      <c r="M13" s="399"/>
      <c r="N13" s="322"/>
      <c r="O13" s="322"/>
      <c r="P13" s="322"/>
      <c r="Q13" s="322"/>
      <c r="R13" s="322"/>
      <c r="S13" s="322"/>
      <c r="T13" s="322"/>
      <c r="U13" s="322"/>
      <c r="V13" s="476">
        <f>U11</f>
        <v>0</v>
      </c>
      <c r="W13" s="322"/>
      <c r="X13" s="322"/>
      <c r="Y13" s="322"/>
      <c r="Z13" s="322"/>
    </row>
    <row r="14" spans="2:26" ht="21" customHeight="1" thickBot="1">
      <c r="B14" s="1211" t="s">
        <v>3442</v>
      </c>
      <c r="C14" s="1116"/>
      <c r="D14" s="1116"/>
      <c r="E14" s="1116"/>
      <c r="F14" s="1116"/>
      <c r="G14" s="1116"/>
      <c r="H14" s="1116"/>
      <c r="I14" s="1116"/>
      <c r="J14" s="1116"/>
      <c r="K14" s="1133">
        <f>SUM(K5:K13)</f>
        <v>0</v>
      </c>
      <c r="L14" s="1134">
        <f>SUM(L5:L13)</f>
        <v>0</v>
      </c>
      <c r="M14" s="399">
        <f>L14-K14</f>
        <v>0</v>
      </c>
      <c r="N14" s="711" t="s">
        <v>3668</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8">
      <c r="B17" s="1760" t="str">
        <f>"OPERATING  SURPLUS  - "&amp;UPPER('KEY INPUTS'!D57)&amp;" UTILITY"</f>
        <v>OPERATING  SURPLUS  -  UTILITY</v>
      </c>
      <c r="C17" s="1760"/>
      <c r="D17" s="1760"/>
      <c r="E17" s="1760"/>
      <c r="F17" s="1760"/>
      <c r="G17" s="1760"/>
      <c r="H17" s="1760"/>
      <c r="I17" s="1760"/>
      <c r="J17" s="1760"/>
      <c r="K17" s="1760"/>
      <c r="L17" s="1760"/>
      <c r="N17" s="322"/>
      <c r="O17" s="322"/>
      <c r="P17" s="322"/>
      <c r="Q17" s="322"/>
      <c r="R17" s="322"/>
      <c r="S17" s="322"/>
      <c r="T17" s="322"/>
    </row>
    <row r="18" spans="2:20" ht="6.75" customHeight="1" thickBot="1">
      <c r="B18" s="1116"/>
      <c r="C18" s="1116"/>
      <c r="D18" s="1116"/>
      <c r="E18" s="1116"/>
      <c r="F18" s="1116"/>
      <c r="G18" s="1116"/>
      <c r="H18" s="1116"/>
      <c r="I18" s="1116"/>
      <c r="J18" s="1116"/>
      <c r="K18" s="1116"/>
      <c r="L18" s="1116"/>
      <c r="N18" s="322"/>
      <c r="O18" s="322"/>
      <c r="P18" s="322"/>
      <c r="Q18" s="322"/>
      <c r="R18" s="322"/>
      <c r="S18" s="322"/>
      <c r="T18" s="322"/>
    </row>
    <row r="19" spans="2:20" ht="25.5" customHeight="1" thickTop="1" thickBot="1">
      <c r="B19" s="1335"/>
      <c r="C19" s="1335"/>
      <c r="D19" s="1335"/>
      <c r="E19" s="1335"/>
      <c r="F19" s="1335"/>
      <c r="G19" s="1335"/>
      <c r="H19" s="1335"/>
      <c r="I19" s="1335"/>
      <c r="J19" s="1335"/>
      <c r="K19" s="1117" t="s">
        <v>125</v>
      </c>
      <c r="L19" s="1118" t="s">
        <v>126</v>
      </c>
      <c r="N19" s="322"/>
      <c r="O19" s="322"/>
      <c r="P19" s="322"/>
      <c r="Q19" s="322"/>
      <c r="R19" s="322"/>
      <c r="S19" s="322"/>
      <c r="T19" s="322"/>
    </row>
    <row r="20" spans="2:20" ht="21" customHeight="1" thickTop="1">
      <c r="B20" s="1213" t="str">
        <f>'KEY INPUTS'!D25</f>
        <v>Balance - January 1, 2019</v>
      </c>
      <c r="C20" s="1172"/>
      <c r="D20" s="1172"/>
      <c r="E20" s="1172"/>
      <c r="F20" s="1172"/>
      <c r="G20" s="1172"/>
      <c r="H20" s="1172"/>
      <c r="I20" s="1172"/>
      <c r="J20" s="1172"/>
      <c r="K20" s="1204" t="s">
        <v>788</v>
      </c>
      <c r="L20" s="639"/>
      <c r="N20" s="322"/>
      <c r="O20" s="322"/>
      <c r="P20" s="322"/>
      <c r="Q20" s="322"/>
      <c r="R20" s="322"/>
      <c r="S20" s="322"/>
      <c r="T20" s="322"/>
    </row>
    <row r="21" spans="2:20" ht="21" customHeight="1">
      <c r="B21" s="1202"/>
      <c r="C21" s="648"/>
      <c r="D21" s="648"/>
      <c r="E21" s="648"/>
      <c r="F21" s="648"/>
      <c r="G21" s="648"/>
      <c r="H21" s="648"/>
      <c r="I21" s="648"/>
      <c r="J21" s="648"/>
      <c r="K21" s="1199"/>
      <c r="L21" s="609"/>
      <c r="N21" s="322"/>
      <c r="O21" s="322"/>
      <c r="P21" s="322"/>
      <c r="Q21" s="322"/>
      <c r="R21" s="322"/>
      <c r="S21" s="322"/>
      <c r="T21" s="322"/>
    </row>
    <row r="22" spans="2:20" ht="21" customHeight="1">
      <c r="B22" s="916" t="str">
        <f>"Excess in Results of "&amp;TEXT('KEY INPUTS'!D34,"0")&amp;" Operations"</f>
        <v>Excess in Results of 2019 Operations</v>
      </c>
      <c r="C22" s="691"/>
      <c r="D22" s="691"/>
      <c r="E22" s="691"/>
      <c r="F22" s="691"/>
      <c r="G22" s="691"/>
      <c r="H22" s="691"/>
      <c r="I22" s="691"/>
      <c r="J22" s="691"/>
      <c r="K22" s="1206" t="s">
        <v>788</v>
      </c>
      <c r="L22" s="1126">
        <f>+K13</f>
        <v>0</v>
      </c>
    </row>
    <row r="23" spans="2:20" ht="21" customHeight="1">
      <c r="B23" s="916" t="str">
        <f>"Amount Appropriated in the "&amp;TEXT('KEY INPUTS'!D34,"0")&amp;" Budget - Cash"</f>
        <v>Amount Appropriated in the 2019 Budget - Cash</v>
      </c>
      <c r="C23" s="691"/>
      <c r="D23" s="691"/>
      <c r="E23" s="691"/>
      <c r="F23" s="691"/>
      <c r="G23" s="691"/>
      <c r="H23" s="691"/>
      <c r="I23" s="691"/>
      <c r="J23" s="691"/>
      <c r="K23" s="690">
        <f>'44-Utility6'!I7</f>
        <v>0</v>
      </c>
      <c r="L23" s="1208" t="s">
        <v>788</v>
      </c>
    </row>
    <row r="24" spans="2:20" ht="11.25" customHeight="1">
      <c r="B24" s="1191" t="str">
        <f>"Amount Appropriated in "&amp;TEXT('KEY INPUTS'!D34,"0")&amp;" Budget with Prior Written"</f>
        <v>Amount Appropriated in 2019 Budget with Prior Written</v>
      </c>
      <c r="C24" s="1116"/>
      <c r="D24" s="1116"/>
      <c r="E24" s="1116"/>
      <c r="F24" s="1116"/>
      <c r="G24" s="1116"/>
      <c r="H24" s="1116"/>
      <c r="I24" s="1116"/>
      <c r="J24" s="1116"/>
      <c r="K24" s="1808"/>
      <c r="L24" s="1810" t="s">
        <v>788</v>
      </c>
    </row>
    <row r="25" spans="2:20" ht="12.75" customHeight="1">
      <c r="B25" s="1130" t="s">
        <v>1066</v>
      </c>
      <c r="C25" s="1130"/>
      <c r="D25" s="1130"/>
      <c r="E25" s="1130"/>
      <c r="F25" s="1130"/>
      <c r="G25" s="1130"/>
      <c r="H25" s="1130"/>
      <c r="I25" s="1130"/>
      <c r="J25" s="1130"/>
      <c r="K25" s="1809"/>
      <c r="L25" s="1811"/>
    </row>
    <row r="26" spans="2:20" ht="21" customHeight="1">
      <c r="B26" s="1202"/>
      <c r="C26" s="648"/>
      <c r="D26" s="648"/>
      <c r="E26" s="648"/>
      <c r="F26" s="648"/>
      <c r="G26" s="648"/>
      <c r="H26" s="648"/>
      <c r="I26" s="648"/>
      <c r="J26" s="648"/>
      <c r="K26" s="601"/>
      <c r="L26" s="1336"/>
    </row>
    <row r="27" spans="2:20" ht="21" customHeight="1" thickBot="1">
      <c r="B27" s="691" t="str">
        <f>'KEY INPUTS'!D26</f>
        <v>Balance - December 31, 2019</v>
      </c>
      <c r="C27" s="691"/>
      <c r="D27" s="691"/>
      <c r="E27" s="691"/>
      <c r="F27" s="691"/>
      <c r="G27" s="691"/>
      <c r="H27" s="691"/>
      <c r="I27" s="691"/>
      <c r="J27" s="691"/>
      <c r="K27" s="1131">
        <f>+SUM(L20:L26)-SUM(K21:K26)</f>
        <v>0</v>
      </c>
      <c r="L27" s="1209" t="s">
        <v>788</v>
      </c>
      <c r="N27" s="778" t="s">
        <v>3530</v>
      </c>
    </row>
    <row r="28" spans="2:20" ht="21" customHeight="1" thickBot="1">
      <c r="B28" s="1116"/>
      <c r="C28" s="1116"/>
      <c r="D28" s="1116"/>
      <c r="E28" s="1116"/>
      <c r="F28" s="1116"/>
      <c r="G28" s="1116"/>
      <c r="H28" s="1116"/>
      <c r="I28" s="1116"/>
      <c r="J28" s="1116"/>
      <c r="K28" s="1133">
        <f>SUM(K21:K27)</f>
        <v>0</v>
      </c>
      <c r="L28" s="1134">
        <f>SUM(L20:L27)</f>
        <v>0</v>
      </c>
    </row>
    <row r="29" spans="2:20" ht="13.8" thickTop="1"/>
    <row r="32" spans="2:20" ht="17.399999999999999">
      <c r="B32" s="1806" t="str">
        <f>"ANALYSIS  OF  BALANCE  DECEMBER 31, "&amp;TEXT('KEY INPUTS'!D34,"0")&amp;""</f>
        <v>ANALYSIS  OF  BALANCE  DECEMBER 31, 2019</v>
      </c>
      <c r="C32" s="1806"/>
      <c r="D32" s="1806"/>
      <c r="E32" s="1806"/>
      <c r="F32" s="1806"/>
      <c r="G32" s="1806"/>
      <c r="H32" s="1806"/>
      <c r="I32" s="1806"/>
      <c r="J32" s="1806"/>
      <c r="K32" s="1806"/>
      <c r="L32" s="1806"/>
    </row>
    <row r="33" spans="2:14" ht="17.399999999999999">
      <c r="B33" s="1806" t="str">
        <f>"(FROM "&amp;UPPER('KEY INPUTS'!D57)&amp;" UTILITY  -  TRIAL  BALANCE)"</f>
        <v>(FROM  UTILITY  -  TRIAL  BALANCE)</v>
      </c>
      <c r="C33" s="1806"/>
      <c r="D33" s="1806"/>
      <c r="E33" s="1806"/>
      <c r="F33" s="1806"/>
      <c r="G33" s="1806"/>
      <c r="H33" s="1806"/>
      <c r="I33" s="1806"/>
      <c r="J33" s="1806"/>
      <c r="K33" s="1806"/>
      <c r="L33" s="1806"/>
    </row>
    <row r="34" spans="2:14" ht="13.8" thickBot="1">
      <c r="B34" s="1116"/>
      <c r="C34" s="1116"/>
      <c r="D34" s="1116"/>
      <c r="E34" s="1116"/>
      <c r="F34" s="1116"/>
      <c r="G34" s="1116"/>
      <c r="H34" s="1116"/>
      <c r="I34" s="1116"/>
      <c r="J34" s="1116"/>
      <c r="K34" s="1116"/>
      <c r="L34" s="1116"/>
    </row>
    <row r="35" spans="2:14" ht="21" customHeight="1" thickTop="1">
      <c r="B35" s="1172" t="s">
        <v>253</v>
      </c>
      <c r="C35" s="1172"/>
      <c r="D35" s="1172"/>
      <c r="E35" s="1172"/>
      <c r="F35" s="1172"/>
      <c r="G35" s="1172"/>
      <c r="H35" s="1172"/>
      <c r="I35" s="1172"/>
      <c r="J35" s="1172"/>
      <c r="K35" s="1216"/>
      <c r="L35" s="1215">
        <f>+'41-Utility6'!G13</f>
        <v>0</v>
      </c>
    </row>
    <row r="36" spans="2:14" ht="21" customHeight="1">
      <c r="B36" s="691" t="s">
        <v>419</v>
      </c>
      <c r="C36" s="691"/>
      <c r="D36" s="691"/>
      <c r="E36" s="691"/>
      <c r="F36" s="691"/>
      <c r="G36" s="691"/>
      <c r="H36" s="691"/>
      <c r="I36" s="691"/>
      <c r="J36" s="691"/>
      <c r="K36" s="1217"/>
      <c r="L36" s="631"/>
    </row>
    <row r="37" spans="2:14" ht="21" customHeight="1" thickBot="1">
      <c r="B37" s="691" t="s">
        <v>830</v>
      </c>
      <c r="C37" s="691"/>
      <c r="D37" s="691"/>
      <c r="E37" s="691"/>
      <c r="F37" s="691"/>
      <c r="G37" s="691"/>
      <c r="H37" s="691"/>
      <c r="I37" s="691"/>
      <c r="J37" s="691"/>
      <c r="K37" s="1217"/>
      <c r="L37" s="633"/>
    </row>
    <row r="38" spans="2:14" ht="21" customHeight="1" thickTop="1">
      <c r="B38" s="691"/>
      <c r="C38" s="691"/>
      <c r="D38" s="691" t="s">
        <v>421</v>
      </c>
      <c r="E38" s="691"/>
      <c r="F38" s="691"/>
      <c r="G38" s="691"/>
      <c r="H38" s="691"/>
      <c r="I38" s="691"/>
      <c r="J38" s="691"/>
      <c r="K38" s="1217"/>
      <c r="L38" s="1218">
        <f>SUM(L35:L37)</f>
        <v>0</v>
      </c>
    </row>
    <row r="39" spans="2:14" ht="21" customHeight="1" thickBot="1">
      <c r="B39" s="691" t="s">
        <v>470</v>
      </c>
      <c r="C39" s="691"/>
      <c r="D39" s="691"/>
      <c r="E39" s="691"/>
      <c r="F39" s="691"/>
      <c r="G39" s="691"/>
      <c r="H39" s="691"/>
      <c r="I39" s="691"/>
      <c r="J39" s="691"/>
      <c r="K39" s="1217"/>
      <c r="L39" s="1219">
        <f>+'41-Utility6'!H39</f>
        <v>0</v>
      </c>
    </row>
    <row r="40" spans="2:14" ht="21" customHeight="1" thickTop="1">
      <c r="B40" s="691"/>
      <c r="C40" s="691"/>
      <c r="D40" s="691" t="s">
        <v>268</v>
      </c>
      <c r="E40" s="691"/>
      <c r="F40" s="691"/>
      <c r="G40" s="691"/>
      <c r="H40" s="691"/>
      <c r="I40" s="691"/>
      <c r="J40" s="691"/>
      <c r="K40" s="1217"/>
      <c r="L40" s="1218">
        <f>+L38-L39</f>
        <v>0</v>
      </c>
    </row>
    <row r="41" spans="2:14" ht="21" customHeight="1">
      <c r="B41" s="691" t="s">
        <v>477</v>
      </c>
      <c r="C41" s="691"/>
      <c r="D41" s="691"/>
      <c r="E41" s="691"/>
      <c r="F41" s="691"/>
      <c r="G41" s="691"/>
      <c r="H41" s="691"/>
      <c r="I41" s="691"/>
      <c r="J41" s="691"/>
      <c r="K41" s="692"/>
      <c r="L41" s="1122"/>
    </row>
    <row r="42" spans="2:14" ht="22.5" customHeight="1">
      <c r="B42" s="691"/>
      <c r="C42" s="1805" t="s">
        <v>473</v>
      </c>
      <c r="D42" s="1805"/>
      <c r="E42" s="1805"/>
      <c r="F42" s="1805"/>
      <c r="G42" s="1805"/>
      <c r="H42" s="1225"/>
      <c r="I42" s="691"/>
      <c r="J42" s="691"/>
      <c r="K42" s="601"/>
      <c r="L42" s="1122"/>
    </row>
    <row r="43" spans="2:14" ht="21" customHeight="1">
      <c r="B43" s="691"/>
      <c r="C43" s="691" t="s">
        <v>269</v>
      </c>
      <c r="D43" s="691"/>
      <c r="E43" s="691"/>
      <c r="F43" s="691"/>
      <c r="G43" s="691"/>
      <c r="H43" s="691"/>
      <c r="I43" s="691"/>
      <c r="J43" s="691"/>
      <c r="K43" s="601"/>
      <c r="L43" s="1122"/>
      <c r="M43" s="399"/>
      <c r="N43" s="399"/>
    </row>
    <row r="44" spans="2:14" ht="21" customHeight="1" thickBot="1">
      <c r="B44" s="691"/>
      <c r="C44" s="691"/>
      <c r="D44" s="691" t="s">
        <v>475</v>
      </c>
      <c r="E44" s="691"/>
      <c r="F44" s="691"/>
      <c r="G44" s="691"/>
      <c r="H44" s="691"/>
      <c r="I44" s="691"/>
      <c r="J44" s="691"/>
      <c r="K44" s="1221"/>
      <c r="L44" s="1132">
        <f>SUM(K42:K43)</f>
        <v>0</v>
      </c>
    </row>
    <row r="45" spans="2:14" ht="21" customHeight="1" thickBot="1">
      <c r="B45" s="1222" t="str">
        <f>"# MAY NOT BE ANTICIPATED AS NON-CASH SURPLUS IN "&amp;TEXT('KEY INPUTS'!D34,"0")&amp;" BUDGET."</f>
        <v># MAY NOT BE ANTICIPATED AS NON-CASH SURPLUS IN 2019 BUDGET.</v>
      </c>
      <c r="C45" s="1116"/>
      <c r="D45" s="1116"/>
      <c r="E45" s="1116"/>
      <c r="F45" s="1116"/>
      <c r="G45" s="1116"/>
      <c r="H45" s="1116"/>
      <c r="I45" s="1116"/>
      <c r="J45" s="1116"/>
      <c r="K45" s="1223"/>
      <c r="L45" s="1220">
        <f>+L40+L44</f>
        <v>0</v>
      </c>
      <c r="M45" s="399"/>
      <c r="N45" s="778" t="s">
        <v>3530</v>
      </c>
    </row>
    <row r="46" spans="2:14" ht="13.8" thickTop="1">
      <c r="B46" s="470" t="s">
        <v>275</v>
      </c>
      <c r="C46" s="470"/>
    </row>
    <row r="47" spans="2:14">
      <c r="B47" s="470"/>
      <c r="C47" s="470" t="s">
        <v>3441</v>
      </c>
    </row>
    <row r="52" spans="2:12" ht="13.8">
      <c r="B52" s="1766" t="s">
        <v>3440</v>
      </c>
      <c r="C52" s="1766"/>
      <c r="D52" s="1766"/>
      <c r="E52" s="1766"/>
      <c r="F52" s="1766"/>
      <c r="G52" s="1766"/>
      <c r="H52" s="1766"/>
      <c r="I52" s="1766"/>
      <c r="J52" s="1766"/>
      <c r="K52" s="1766"/>
      <c r="L52" s="1766"/>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8">
    <tabColor theme="3" tint="0.79998168889431442"/>
  </sheetPr>
  <dimension ref="B3:T69"/>
  <sheetViews>
    <sheetView zoomScaleNormal="100" zoomScaleSheetLayoutView="80" workbookViewId="0">
      <selection activeCell="B1" sqref="B1"/>
    </sheetView>
  </sheetViews>
  <sheetFormatPr defaultColWidth="9.109375" defaultRowHeight="13.2"/>
  <cols>
    <col min="1" max="4" width="4.6640625" style="331" customWidth="1"/>
    <col min="5" max="8" width="9.109375" style="331"/>
    <col min="9" max="9" width="1.6640625" style="331" customWidth="1"/>
    <col min="10" max="10" width="16.6640625" style="331" customWidth="1"/>
    <col min="11" max="11" width="1.6640625" style="331" customWidth="1"/>
    <col min="12" max="12" width="16.6640625" style="331" customWidth="1"/>
    <col min="13" max="16384" width="9.109375" style="331"/>
  </cols>
  <sheetData>
    <row r="3" spans="2:20" ht="17.399999999999999">
      <c r="B3" s="1812" t="str">
        <f>"SCHEDULE  OF "&amp;UPPER('KEY INPUTS'!D57&amp;"  UTILITY  ACCOUNTS  RECEIVABLE")</f>
        <v>SCHEDULE  OF   UTILITY  ACCOUNTS  RECEIVABLE</v>
      </c>
      <c r="C3" s="1812"/>
      <c r="D3" s="1812"/>
      <c r="E3" s="1812"/>
      <c r="F3" s="1812"/>
      <c r="G3" s="1812"/>
      <c r="H3" s="1812"/>
      <c r="I3" s="1812"/>
      <c r="J3" s="1812"/>
      <c r="K3" s="1812"/>
      <c r="L3" s="1812"/>
    </row>
    <row r="6" spans="2:20">
      <c r="B6" s="480" t="str">
        <f>"Balance December 31, "&amp;'KEY INPUTS'!D35</f>
        <v>Balance December 31, 2018</v>
      </c>
      <c r="J6" s="287"/>
      <c r="K6" s="331" t="s">
        <v>482</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80" t="s">
        <v>3785</v>
      </c>
      <c r="E11" s="1479"/>
      <c r="F11" s="1194"/>
      <c r="G11" s="1116"/>
      <c r="J11" s="287"/>
      <c r="K11" s="331" t="s">
        <v>482</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482</v>
      </c>
      <c r="J16" s="580"/>
      <c r="K16" s="287"/>
      <c r="L16" s="287"/>
      <c r="N16" s="322"/>
      <c r="O16" s="322"/>
      <c r="P16" s="322"/>
      <c r="Q16" s="322"/>
      <c r="R16" s="322"/>
      <c r="S16" s="322"/>
      <c r="T16" s="322"/>
    </row>
    <row r="17" spans="2:20" ht="21" customHeight="1">
      <c r="D17" s="331" t="s">
        <v>279</v>
      </c>
      <c r="I17" s="331" t="s">
        <v>482</v>
      </c>
      <c r="J17" s="580"/>
      <c r="K17" s="287"/>
      <c r="L17" s="287"/>
      <c r="N17" s="322"/>
      <c r="O17" s="322"/>
      <c r="P17" s="322"/>
      <c r="Q17" s="322"/>
      <c r="R17" s="322"/>
      <c r="S17" s="322"/>
      <c r="T17" s="322"/>
    </row>
    <row r="18" spans="2:20" ht="21" customHeight="1">
      <c r="D18" s="1116" t="s">
        <v>3786</v>
      </c>
      <c r="E18" s="1116"/>
      <c r="F18" s="1194"/>
      <c r="G18" s="1116"/>
      <c r="I18" s="331" t="s">
        <v>482</v>
      </c>
      <c r="J18" s="580"/>
      <c r="K18" s="287"/>
      <c r="L18" s="287"/>
      <c r="N18" s="322"/>
      <c r="O18" s="322"/>
      <c r="P18" s="322"/>
      <c r="Q18" s="322"/>
      <c r="R18" s="322"/>
      <c r="S18" s="322"/>
      <c r="T18" s="322"/>
    </row>
    <row r="19" spans="2:20" ht="21" customHeight="1">
      <c r="D19" s="331" t="s">
        <v>280</v>
      </c>
      <c r="I19" s="331" t="s">
        <v>482</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482</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8" thickBot="1">
      <c r="B24" s="478" t="str">
        <f>"Balance December 31, "&amp;'KEY INPUTS'!D34</f>
        <v>Balance December 31, 2019</v>
      </c>
      <c r="J24" s="287"/>
      <c r="K24" s="331" t="s">
        <v>482</v>
      </c>
      <c r="L24" s="84">
        <f>+L6+L11-L21</f>
        <v>0</v>
      </c>
    </row>
    <row r="25" spans="2:20" ht="13.8"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7.399999999999999">
      <c r="B33" s="1806" t="str">
        <f>"SCHEDULE  OF "&amp;UPPER('KEY INPUTS'!D57)&amp;" UTILITY  LIENS"</f>
        <v>SCHEDULE  OF  UTILITY  LIENS</v>
      </c>
      <c r="C33" s="1806"/>
      <c r="D33" s="1806"/>
      <c r="E33" s="1806"/>
      <c r="F33" s="1806"/>
      <c r="G33" s="1806"/>
      <c r="H33" s="1806"/>
      <c r="I33" s="1806"/>
      <c r="J33" s="1806"/>
      <c r="K33" s="1806"/>
      <c r="L33" s="1806"/>
    </row>
    <row r="36" spans="2:12">
      <c r="B36" s="478" t="str">
        <f>"Balance December 31, "&amp;'KEY INPUTS'!D35</f>
        <v>Balance December 31, 2018</v>
      </c>
      <c r="I36" s="287"/>
      <c r="J36" s="287"/>
      <c r="K36" s="287" t="s">
        <v>482</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482</v>
      </c>
      <c r="J41" s="580"/>
      <c r="K41" s="287"/>
      <c r="L41" s="287"/>
    </row>
    <row r="42" spans="2:12" ht="21" customHeight="1">
      <c r="D42" s="331" t="s">
        <v>282</v>
      </c>
      <c r="I42" s="331" t="s">
        <v>482</v>
      </c>
      <c r="J42" s="580"/>
      <c r="K42" s="287"/>
      <c r="L42" s="287"/>
    </row>
    <row r="43" spans="2:12" ht="21" customHeight="1">
      <c r="D43" s="331" t="s">
        <v>280</v>
      </c>
      <c r="I43" s="331" t="s">
        <v>482</v>
      </c>
      <c r="J43" s="580"/>
      <c r="K43" s="125"/>
      <c r="L43" s="125"/>
    </row>
    <row r="44" spans="2:12">
      <c r="I44" s="287"/>
      <c r="J44" s="287"/>
      <c r="K44" s="287"/>
      <c r="L44" s="287"/>
    </row>
    <row r="45" spans="2:12">
      <c r="I45" s="287"/>
      <c r="J45" s="287"/>
      <c r="K45" s="331" t="s">
        <v>482</v>
      </c>
      <c r="L45" s="67">
        <f>SUM(J41:J43)</f>
        <v>0</v>
      </c>
    </row>
    <row r="46" spans="2:12">
      <c r="I46" s="287"/>
      <c r="J46" s="287"/>
      <c r="K46" s="287"/>
      <c r="L46" s="287"/>
    </row>
    <row r="47" spans="2:12">
      <c r="B47" s="331" t="s">
        <v>277</v>
      </c>
      <c r="I47" s="287"/>
      <c r="J47" s="287"/>
      <c r="K47" s="287"/>
      <c r="L47" s="287"/>
    </row>
    <row r="48" spans="2:12" ht="21" customHeight="1">
      <c r="D48" s="331" t="s">
        <v>278</v>
      </c>
      <c r="I48" s="331" t="s">
        <v>482</v>
      </c>
      <c r="J48" s="580"/>
      <c r="K48" s="287"/>
      <c r="L48" s="287"/>
    </row>
    <row r="49" spans="2:12" ht="21" customHeight="1">
      <c r="D49" s="331" t="s">
        <v>280</v>
      </c>
      <c r="I49" s="331" t="s">
        <v>482</v>
      </c>
      <c r="J49" s="580"/>
      <c r="K49" s="287"/>
      <c r="L49" s="287"/>
    </row>
    <row r="50" spans="2:12">
      <c r="I50" s="287"/>
      <c r="J50" s="287"/>
      <c r="K50" s="287"/>
      <c r="L50" s="287"/>
    </row>
    <row r="51" spans="2:12">
      <c r="I51" s="287"/>
      <c r="J51" s="287"/>
      <c r="K51" s="331" t="s">
        <v>482</v>
      </c>
      <c r="L51" s="67">
        <f>+J49+J48</f>
        <v>0</v>
      </c>
    </row>
    <row r="52" spans="2:12">
      <c r="I52" s="287"/>
      <c r="J52" s="287"/>
      <c r="K52" s="287"/>
      <c r="L52" s="287"/>
    </row>
    <row r="53" spans="2:12">
      <c r="I53" s="287"/>
      <c r="J53" s="287"/>
      <c r="K53" s="287"/>
      <c r="L53" s="287"/>
    </row>
    <row r="54" spans="2:12" ht="13.8" thickBot="1">
      <c r="B54" s="478" t="str">
        <f>"Balance December 31, "&amp;'KEY INPUTS'!D34</f>
        <v>Balance December 31, 2019</v>
      </c>
      <c r="I54" s="287"/>
      <c r="J54" s="287"/>
      <c r="K54" s="331" t="s">
        <v>482</v>
      </c>
      <c r="L54" s="84">
        <f>+L36+L45-L51</f>
        <v>0</v>
      </c>
    </row>
    <row r="55" spans="2:12" ht="13.8" thickTop="1">
      <c r="I55" s="287"/>
      <c r="J55" s="287"/>
      <c r="K55" s="287"/>
      <c r="L55" s="287"/>
    </row>
    <row r="69" spans="2:12" ht="13.8">
      <c r="B69" s="1813" t="s">
        <v>3444</v>
      </c>
      <c r="C69" s="1813"/>
      <c r="D69" s="1813"/>
      <c r="E69" s="1813"/>
      <c r="F69" s="1813"/>
      <c r="G69" s="1813"/>
      <c r="H69" s="1813"/>
      <c r="I69" s="1813"/>
      <c r="J69" s="1813"/>
      <c r="K69" s="1813"/>
      <c r="L69" s="1813"/>
    </row>
  </sheetData>
  <sheetProtection algorithmName="SHA-512" hashValue="YyWH84tsL0EpvXXB9DkgR1CKCuUitj2SiAG+2emNFRIxxC8nGe4xSw6McgTAqcIml4ED5yRHvVLXvgPQcRMjeA==" saltValue="VcV4H6wDV5XUD8yjLIqTn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3:K51"/>
  <sheetViews>
    <sheetView topLeftCell="A28" zoomScaleNormal="100" workbookViewId="0">
      <selection activeCell="O34" sqref="O34"/>
    </sheetView>
  </sheetViews>
  <sheetFormatPr defaultColWidth="9.109375" defaultRowHeight="13.2"/>
  <cols>
    <col min="1" max="1" width="4.6640625" style="322" customWidth="1"/>
    <col min="2" max="2" width="4.88671875" style="322" customWidth="1"/>
    <col min="3" max="4" width="4.6640625" style="322" customWidth="1"/>
    <col min="5" max="5" width="30.6640625" style="322" customWidth="1"/>
    <col min="6" max="6" width="15.6640625" style="322" customWidth="1"/>
    <col min="7" max="8" width="16.6640625" style="322" customWidth="1"/>
    <col min="9" max="9" width="13.5546875" style="322" bestFit="1" customWidth="1"/>
    <col min="10" max="10" width="11.88671875" style="322" bestFit="1" customWidth="1"/>
    <col min="11" max="11" width="10.33203125" style="322" bestFit="1" customWidth="1"/>
    <col min="12" max="16384" width="9.109375" style="322"/>
  </cols>
  <sheetData>
    <row r="3" spans="2:9" ht="22.8">
      <c r="B3" s="1548" t="s">
        <v>543</v>
      </c>
      <c r="C3" s="1548"/>
      <c r="D3" s="1548"/>
      <c r="E3" s="1548"/>
      <c r="F3" s="1548"/>
      <c r="G3" s="1548"/>
      <c r="H3" s="1548"/>
    </row>
    <row r="4" spans="2:9" ht="22.8">
      <c r="B4" s="1548" t="s">
        <v>249</v>
      </c>
      <c r="C4" s="1548"/>
      <c r="D4" s="1548"/>
      <c r="E4" s="1548"/>
      <c r="F4" s="1548"/>
      <c r="G4" s="1548"/>
      <c r="H4" s="1548"/>
    </row>
    <row r="5" spans="2:9" ht="13.8">
      <c r="B5" s="1577"/>
      <c r="C5" s="1577"/>
      <c r="D5" s="1577"/>
      <c r="E5" s="1577"/>
      <c r="F5" s="1577"/>
      <c r="G5" s="1577"/>
      <c r="H5" s="1577"/>
    </row>
    <row r="6" spans="2:9" ht="15.6">
      <c r="B6" s="1555" t="str">
        <f>'KEY INPUTS'!D44</f>
        <v>AS  AT  DECEMBER  31, 2019</v>
      </c>
      <c r="C6" s="1509"/>
      <c r="D6" s="1509"/>
      <c r="E6" s="1509"/>
      <c r="F6" s="1509"/>
      <c r="G6" s="1509"/>
      <c r="H6" s="1509"/>
    </row>
    <row r="7" spans="2:9" ht="13.8" thickBot="1"/>
    <row r="8" spans="2:9" ht="36" customHeight="1" thickTop="1" thickBot="1">
      <c r="B8" s="1552" t="s">
        <v>124</v>
      </c>
      <c r="C8" s="1552"/>
      <c r="D8" s="1552"/>
      <c r="E8" s="1552"/>
      <c r="F8" s="1553"/>
      <c r="G8" s="1457" t="s">
        <v>125</v>
      </c>
      <c r="H8" s="818" t="s">
        <v>126</v>
      </c>
    </row>
    <row r="9" spans="2:9" ht="21" customHeight="1" thickTop="1">
      <c r="B9" s="796" t="s">
        <v>3547</v>
      </c>
      <c r="G9" s="66">
        <f>+'8-Trial Bal-Gen Cap Fund'!G44</f>
        <v>67721240.189999998</v>
      </c>
      <c r="H9" s="64">
        <f>+'8-Trial Bal-Gen Cap Fund'!H44</f>
        <v>11286549</v>
      </c>
      <c r="I9" s="325"/>
    </row>
    <row r="10" spans="2:9" ht="21" customHeight="1">
      <c r="B10" s="859"/>
      <c r="C10" s="1562"/>
      <c r="D10" s="1562"/>
      <c r="E10" s="1562"/>
      <c r="F10" s="1563"/>
      <c r="G10" s="665"/>
      <c r="H10" s="582"/>
      <c r="I10" s="325"/>
    </row>
    <row r="11" spans="2:9" ht="21" customHeight="1">
      <c r="B11" s="841"/>
      <c r="C11" s="1562"/>
      <c r="D11" s="1562"/>
      <c r="E11" s="1562"/>
      <c r="F11" s="1563"/>
      <c r="G11" s="636"/>
      <c r="H11" s="882"/>
    </row>
    <row r="12" spans="2:9" ht="21" customHeight="1">
      <c r="B12" s="640"/>
      <c r="C12" s="1562"/>
      <c r="D12" s="1562"/>
      <c r="E12" s="1562"/>
      <c r="F12" s="1563"/>
      <c r="G12" s="883"/>
      <c r="H12" s="728"/>
      <c r="I12" s="744"/>
    </row>
    <row r="13" spans="2:9" ht="21" customHeight="1">
      <c r="B13" s="640"/>
      <c r="C13" s="1562"/>
      <c r="D13" s="1562"/>
      <c r="E13" s="1562"/>
      <c r="F13" s="1563"/>
      <c r="G13" s="372"/>
      <c r="H13" s="568"/>
    </row>
    <row r="14" spans="2:9" ht="21" customHeight="1">
      <c r="B14" s="640"/>
      <c r="C14" s="1562"/>
      <c r="D14" s="1562"/>
      <c r="E14" s="1562"/>
      <c r="F14" s="1563"/>
      <c r="G14" s="591"/>
      <c r="H14" s="568"/>
      <c r="I14" s="325"/>
    </row>
    <row r="15" spans="2:9" ht="21" customHeight="1">
      <c r="B15" s="640"/>
      <c r="C15" s="1562"/>
      <c r="D15" s="1562"/>
      <c r="E15" s="1562"/>
      <c r="F15" s="1563"/>
      <c r="G15" s="372"/>
      <c r="H15" s="568"/>
      <c r="I15" s="325"/>
    </row>
    <row r="16" spans="2:9" ht="21" customHeight="1">
      <c r="B16" s="640"/>
      <c r="C16" s="1562"/>
      <c r="D16" s="1562"/>
      <c r="E16" s="1562"/>
      <c r="F16" s="1563"/>
      <c r="G16" s="372"/>
      <c r="H16" s="568"/>
      <c r="I16" s="325"/>
    </row>
    <row r="17" spans="2:11" ht="21" customHeight="1">
      <c r="B17" s="640"/>
      <c r="C17" s="1562"/>
      <c r="D17" s="1562"/>
      <c r="E17" s="1562"/>
      <c r="F17" s="1563"/>
      <c r="G17" s="372"/>
      <c r="H17" s="568"/>
    </row>
    <row r="18" spans="2:11" ht="21" customHeight="1">
      <c r="B18" s="640"/>
      <c r="C18" s="1562"/>
      <c r="D18" s="1562"/>
      <c r="E18" s="1562"/>
      <c r="F18" s="1563"/>
      <c r="G18" s="591"/>
      <c r="H18" s="568"/>
      <c r="I18" s="743"/>
    </row>
    <row r="19" spans="2:11" ht="21" customHeight="1">
      <c r="B19" s="640"/>
      <c r="C19" s="1562"/>
      <c r="D19" s="1562"/>
      <c r="E19" s="1562"/>
      <c r="F19" s="1563"/>
      <c r="G19" s="727"/>
      <c r="H19" s="728"/>
      <c r="I19" s="325"/>
      <c r="J19" s="325"/>
      <c r="K19" s="325"/>
    </row>
    <row r="20" spans="2:11" ht="21" customHeight="1">
      <c r="B20" s="640"/>
      <c r="C20" s="1562"/>
      <c r="D20" s="1562"/>
      <c r="E20" s="1562"/>
      <c r="F20" s="1563"/>
      <c r="G20" s="372"/>
      <c r="H20" s="568"/>
    </row>
    <row r="21" spans="2:11" ht="21" customHeight="1">
      <c r="B21" s="383"/>
      <c r="C21" s="383" t="s">
        <v>545</v>
      </c>
      <c r="D21" s="383"/>
      <c r="E21" s="383"/>
      <c r="F21" s="383"/>
      <c r="G21" s="875"/>
      <c r="H21" s="876">
        <f>+'33 Totals-Note Debt Service'!G23</f>
        <v>4967750</v>
      </c>
      <c r="I21" s="713"/>
    </row>
    <row r="22" spans="2:11" ht="21" customHeight="1">
      <c r="B22" s="383"/>
      <c r="C22" s="877" t="s">
        <v>3481</v>
      </c>
      <c r="D22" s="383"/>
      <c r="E22" s="383"/>
      <c r="F22" s="383"/>
      <c r="G22" s="878"/>
      <c r="H22" s="879">
        <f>'31-Capital Bond Schedule'!G12+'31-Capital Bond Schedule'!G23</f>
        <v>32329000</v>
      </c>
      <c r="I22" s="713"/>
    </row>
    <row r="23" spans="2:11" ht="21" customHeight="1">
      <c r="B23" s="383"/>
      <c r="C23" s="880" t="s">
        <v>3482</v>
      </c>
      <c r="D23" s="847"/>
      <c r="E23" s="847"/>
      <c r="F23" s="383"/>
      <c r="G23" s="875"/>
      <c r="H23" s="881">
        <f>'32-Bond Schedule'!G11+'32-Bond Schedule'!G22</f>
        <v>0</v>
      </c>
      <c r="I23" s="711"/>
    </row>
    <row r="24" spans="2:11" ht="21" customHeight="1">
      <c r="B24" s="640"/>
      <c r="C24" s="845" t="s">
        <v>3680</v>
      </c>
      <c r="D24" s="640"/>
      <c r="E24" s="640"/>
      <c r="F24" s="640"/>
      <c r="G24" s="908"/>
      <c r="H24" s="909">
        <f>+'31A-Loan Schedule'!G12+'31A-Loan Schedule'!G23+'31A.1-Loan Schedule'!G12+'31A.1-Loan Schedule'!G23+'31A.2-Loan Schedule'!G12+'31A.2-Loan Schedule'!G23</f>
        <v>0</v>
      </c>
    </row>
    <row r="25" spans="2:11" ht="21" customHeight="1">
      <c r="B25" s="640"/>
      <c r="C25" s="845" t="s">
        <v>3690</v>
      </c>
      <c r="D25" s="640"/>
      <c r="E25" s="640"/>
      <c r="F25" s="640"/>
      <c r="G25" s="913"/>
      <c r="H25" s="914">
        <f>'34a-Cap Lease Program Oblg'!G23</f>
        <v>0</v>
      </c>
    </row>
    <row r="26" spans="2:11" ht="21" customHeight="1">
      <c r="B26" s="640"/>
      <c r="C26" s="1562"/>
      <c r="D26" s="1562"/>
      <c r="E26" s="1562"/>
      <c r="F26" s="1563"/>
      <c r="G26" s="372"/>
      <c r="H26" s="568"/>
    </row>
    <row r="27" spans="2:11" ht="21" customHeight="1">
      <c r="B27" s="640"/>
      <c r="C27" s="1562"/>
      <c r="D27" s="1562"/>
      <c r="E27" s="1562"/>
      <c r="F27" s="1563"/>
      <c r="G27" s="372"/>
      <c r="H27" s="568"/>
    </row>
    <row r="28" spans="2:11" ht="21" customHeight="1">
      <c r="B28" s="383"/>
      <c r="C28" s="566" t="s">
        <v>574</v>
      </c>
      <c r="D28" s="566"/>
      <c r="E28" s="566"/>
      <c r="F28" s="566"/>
      <c r="G28" s="372"/>
      <c r="H28" s="379"/>
      <c r="I28" s="325"/>
    </row>
    <row r="29" spans="2:11" ht="21" customHeight="1">
      <c r="B29" s="383"/>
      <c r="C29" s="1557" t="s">
        <v>3894</v>
      </c>
      <c r="D29" s="1562"/>
      <c r="E29" s="1562"/>
      <c r="F29" s="1563"/>
      <c r="G29" s="591"/>
      <c r="H29" s="568">
        <v>2839296.19</v>
      </c>
      <c r="I29" s="325"/>
    </row>
    <row r="30" spans="2:11" ht="21" customHeight="1">
      <c r="B30" s="383"/>
      <c r="C30" s="1557" t="s">
        <v>3895</v>
      </c>
      <c r="D30" s="1562"/>
      <c r="E30" s="1562"/>
      <c r="F30" s="1563"/>
      <c r="G30" s="727"/>
      <c r="H30" s="728">
        <v>1367600</v>
      </c>
      <c r="I30" s="325"/>
    </row>
    <row r="31" spans="2:11" ht="21" customHeight="1">
      <c r="B31" s="383"/>
      <c r="C31" s="1562"/>
      <c r="D31" s="1562"/>
      <c r="E31" s="1562"/>
      <c r="F31" s="1563"/>
      <c r="G31" s="372"/>
      <c r="H31" s="568"/>
    </row>
    <row r="32" spans="2:11" ht="21" customHeight="1">
      <c r="B32" s="383"/>
      <c r="C32" s="323" t="s">
        <v>1005</v>
      </c>
      <c r="D32" s="323"/>
      <c r="E32" s="323"/>
      <c r="F32" s="323"/>
      <c r="G32" s="335"/>
      <c r="H32" s="336"/>
    </row>
    <row r="33" spans="2:9" ht="21" customHeight="1">
      <c r="B33" s="383"/>
      <c r="C33" s="323"/>
      <c r="D33" s="323" t="s">
        <v>1002</v>
      </c>
      <c r="E33" s="323"/>
      <c r="F33" s="323"/>
      <c r="G33" s="372"/>
      <c r="H33" s="336">
        <f>+'35 Totals- Cap Fund Imprv Auth'!K28</f>
        <v>1875189.91</v>
      </c>
      <c r="I33" s="713"/>
    </row>
    <row r="34" spans="2:9" ht="21" customHeight="1">
      <c r="B34" s="383"/>
      <c r="C34" s="323"/>
      <c r="D34" s="323" t="s">
        <v>1003</v>
      </c>
      <c r="E34" s="323"/>
      <c r="F34" s="323"/>
      <c r="G34" s="727"/>
      <c r="H34" s="336">
        <f>+'35 Totals- Cap Fund Imprv Auth'!L28</f>
        <v>7668071.209999999</v>
      </c>
      <c r="I34" s="713"/>
    </row>
    <row r="35" spans="2:9" ht="21" customHeight="1">
      <c r="B35" s="383"/>
      <c r="C35" s="1562"/>
      <c r="D35" s="1562"/>
      <c r="E35" s="1562"/>
      <c r="F35" s="1563"/>
      <c r="G35" s="372"/>
      <c r="H35" s="568"/>
    </row>
    <row r="36" spans="2:9" ht="21" customHeight="1">
      <c r="B36" s="383"/>
      <c r="C36" s="326" t="s">
        <v>997</v>
      </c>
      <c r="D36" s="323"/>
      <c r="E36" s="323"/>
      <c r="F36" s="323"/>
      <c r="G36" s="727"/>
      <c r="H36" s="728">
        <v>4531209.9000000004</v>
      </c>
      <c r="I36" s="325"/>
    </row>
    <row r="37" spans="2:9" ht="21" customHeight="1">
      <c r="B37" s="383"/>
      <c r="C37" s="1562"/>
      <c r="D37" s="1562"/>
      <c r="E37" s="1562"/>
      <c r="F37" s="1563"/>
      <c r="G37" s="372"/>
      <c r="H37" s="568"/>
    </row>
    <row r="38" spans="2:9" ht="21" customHeight="1">
      <c r="B38" s="383"/>
      <c r="C38" s="326" t="s">
        <v>414</v>
      </c>
      <c r="D38" s="323"/>
      <c r="E38" s="323"/>
      <c r="F38" s="323"/>
      <c r="G38" s="372"/>
      <c r="H38" s="730"/>
      <c r="I38" s="325"/>
    </row>
    <row r="39" spans="2:9" ht="21" customHeight="1">
      <c r="B39" s="383"/>
      <c r="C39" s="323" t="s">
        <v>1006</v>
      </c>
      <c r="D39" s="323"/>
      <c r="E39" s="323"/>
      <c r="F39" s="323"/>
      <c r="G39" s="372"/>
      <c r="H39" s="336">
        <f>+'36- Capital Improvement Fund'!I31</f>
        <v>574503.26</v>
      </c>
      <c r="I39" s="713"/>
    </row>
    <row r="40" spans="2:9" ht="21" customHeight="1">
      <c r="B40" s="383"/>
      <c r="C40" s="733" t="s">
        <v>3483</v>
      </c>
      <c r="D40" s="725"/>
      <c r="E40" s="725"/>
      <c r="F40" s="725"/>
      <c r="G40" s="875"/>
      <c r="H40" s="881">
        <f>'37- Cap Fund Down Pymts'!I15</f>
        <v>0</v>
      </c>
      <c r="I40" s="711"/>
    </row>
    <row r="41" spans="2:9" ht="21" customHeight="1">
      <c r="B41" s="383"/>
      <c r="C41" s="1562"/>
      <c r="D41" s="1562"/>
      <c r="E41" s="1562"/>
      <c r="F41" s="1563"/>
      <c r="G41" s="374"/>
      <c r="H41" s="661"/>
      <c r="I41" s="325"/>
    </row>
    <row r="42" spans="2:9" ht="21" customHeight="1">
      <c r="B42" s="383"/>
      <c r="C42" s="1562"/>
      <c r="D42" s="1562"/>
      <c r="E42" s="1562"/>
      <c r="F42" s="1563"/>
      <c r="G42" s="372"/>
      <c r="H42" s="568"/>
    </row>
    <row r="43" spans="2:9" ht="21" customHeight="1" thickBot="1">
      <c r="B43" s="383"/>
      <c r="C43" s="323" t="s">
        <v>808</v>
      </c>
      <c r="D43" s="323"/>
      <c r="E43" s="323"/>
      <c r="F43" s="323"/>
      <c r="G43" s="586"/>
      <c r="H43" s="237">
        <f>+'38- Capital Surplus'!I17</f>
        <v>282070.71999999997</v>
      </c>
      <c r="I43" s="711"/>
    </row>
    <row r="44" spans="2:9" ht="21" customHeight="1" thickBot="1">
      <c r="B44" s="383"/>
      <c r="C44" s="323"/>
      <c r="D44" s="323"/>
      <c r="E44" s="323"/>
      <c r="F44" s="323"/>
      <c r="G44" s="219">
        <f>SUM(G9:G43)</f>
        <v>67721240.189999998</v>
      </c>
      <c r="H44" s="220">
        <f>SUM(H9:H43)</f>
        <v>67721240.189999998</v>
      </c>
      <c r="I44" s="325"/>
    </row>
    <row r="45" spans="2:9" ht="13.8" thickTop="1">
      <c r="B45" s="1511" t="s">
        <v>127</v>
      </c>
      <c r="C45" s="1511"/>
      <c r="D45" s="1511"/>
      <c r="E45" s="1511"/>
      <c r="F45" s="1511"/>
      <c r="G45" s="1511"/>
      <c r="H45" s="1511"/>
    </row>
    <row r="46" spans="2:9">
      <c r="B46" s="816"/>
      <c r="C46" s="816"/>
      <c r="D46" s="816"/>
      <c r="E46" s="816"/>
      <c r="F46" s="816"/>
      <c r="G46" s="816"/>
      <c r="H46" s="816"/>
    </row>
    <row r="48" spans="2:9" ht="13.8">
      <c r="B48" s="1507" t="s">
        <v>3663</v>
      </c>
      <c r="C48" s="1507"/>
      <c r="D48" s="1507"/>
      <c r="E48" s="1507"/>
      <c r="F48" s="1507"/>
      <c r="G48" s="1507"/>
      <c r="H48" s="1507"/>
    </row>
    <row r="50" spans="8:8">
      <c r="H50" s="325"/>
    </row>
    <row r="51" spans="8:8">
      <c r="H51" s="325"/>
    </row>
  </sheetData>
  <sheetProtection algorithmName="SHA-512" hashValue="zExAd0edT8sBR5dPmaH95KgwHncMyRpITl9nH5KZrS7/33i4dCb1XbAELkWbQRHqPXu40E/whvwl20xawbbn/w==" saltValue="hZYIdq7DLboCh4djelLKcQ=="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79">
    <tabColor theme="3" tint="0.79998168889431442"/>
  </sheetPr>
  <dimension ref="B1:W69"/>
  <sheetViews>
    <sheetView zoomScaleNormal="100" zoomScaleSheetLayoutView="80" workbookViewId="0">
      <selection activeCell="B1" sqref="B1"/>
    </sheetView>
  </sheetViews>
  <sheetFormatPr defaultColWidth="9.109375" defaultRowHeight="13.2"/>
  <cols>
    <col min="1" max="4" width="4.6640625" style="331" customWidth="1"/>
    <col min="5" max="6" width="9.109375" style="331"/>
    <col min="7" max="7" width="1.6640625" style="331" customWidth="1"/>
    <col min="8" max="8" width="14.6640625" style="331" customWidth="1"/>
    <col min="9" max="9" width="1.6640625" style="331" customWidth="1"/>
    <col min="10" max="10" width="14.6640625" style="331" customWidth="1"/>
    <col min="11" max="11" width="1.6640625" style="331" customWidth="1"/>
    <col min="12" max="12" width="14.6640625" style="331" customWidth="1"/>
    <col min="13" max="13" width="1.6640625" style="331" customWidth="1"/>
    <col min="14" max="14" width="14.6640625" style="331" customWidth="1"/>
    <col min="15" max="16384" width="9.109375" style="331"/>
  </cols>
  <sheetData>
    <row r="1" spans="2:23">
      <c r="B1" s="1148"/>
      <c r="C1" s="1148"/>
      <c r="D1" s="1148"/>
      <c r="E1" s="1148"/>
      <c r="F1" s="1148"/>
      <c r="G1" s="1148"/>
      <c r="H1" s="1148"/>
      <c r="I1" s="1148"/>
      <c r="J1" s="1148"/>
      <c r="K1" s="1148"/>
      <c r="L1" s="1148"/>
      <c r="M1" s="1148"/>
      <c r="N1" s="1148"/>
    </row>
    <row r="2" spans="2:23">
      <c r="B2" s="1148"/>
      <c r="C2" s="1148"/>
      <c r="D2" s="1148"/>
      <c r="E2" s="1148"/>
      <c r="F2" s="1148"/>
      <c r="G2" s="1148"/>
      <c r="H2" s="1148"/>
      <c r="I2" s="1148"/>
      <c r="J2" s="1148"/>
      <c r="K2" s="1148"/>
      <c r="L2" s="1148"/>
      <c r="M2" s="1148"/>
      <c r="N2" s="1148"/>
    </row>
    <row r="3" spans="2:23" ht="20.399999999999999">
      <c r="B3" s="1871" t="s">
        <v>1130</v>
      </c>
      <c r="C3" s="1871"/>
      <c r="D3" s="1871"/>
      <c r="E3" s="1871"/>
      <c r="F3" s="1871"/>
      <c r="G3" s="1871"/>
      <c r="H3" s="1871"/>
      <c r="I3" s="1871"/>
      <c r="J3" s="1871"/>
      <c r="K3" s="1871"/>
      <c r="L3" s="1871"/>
      <c r="M3" s="1871"/>
      <c r="N3" s="1871"/>
    </row>
    <row r="4" spans="2:23" ht="15.6">
      <c r="B4" s="1929" t="s">
        <v>540</v>
      </c>
      <c r="C4" s="1929"/>
      <c r="D4" s="1929"/>
      <c r="E4" s="1929"/>
      <c r="F4" s="1929"/>
      <c r="G4" s="1929"/>
      <c r="H4" s="1929"/>
      <c r="I4" s="1929"/>
      <c r="J4" s="1929"/>
      <c r="K4" s="1929"/>
      <c r="L4" s="1929"/>
      <c r="M4" s="1929"/>
      <c r="N4" s="1929"/>
    </row>
    <row r="5" spans="2:23" ht="20.399999999999999">
      <c r="B5" s="1789" t="str">
        <f>UPPER('KEY INPUTS'!D57)&amp;" UTILITY  FUND"</f>
        <v xml:space="preserve"> UTILITY  FUND</v>
      </c>
      <c r="C5" s="1789"/>
      <c r="D5" s="1789"/>
      <c r="E5" s="1789"/>
      <c r="F5" s="1789"/>
      <c r="G5" s="1789"/>
      <c r="H5" s="1789"/>
      <c r="I5" s="1789"/>
      <c r="J5" s="1789"/>
      <c r="K5" s="1789"/>
      <c r="L5" s="1789"/>
      <c r="M5" s="1789"/>
      <c r="N5" s="1789"/>
    </row>
    <row r="6" spans="2:23">
      <c r="B6" s="1930" t="s">
        <v>283</v>
      </c>
      <c r="C6" s="1930"/>
      <c r="D6" s="1930"/>
      <c r="E6" s="1930"/>
      <c r="F6" s="1930"/>
      <c r="G6" s="1930"/>
      <c r="H6" s="1930"/>
      <c r="I6" s="1930"/>
      <c r="J6" s="1930"/>
      <c r="K6" s="1930"/>
      <c r="L6" s="1930"/>
      <c r="M6" s="1930"/>
      <c r="N6" s="1930"/>
    </row>
    <row r="7" spans="2:23">
      <c r="B7" s="1148"/>
      <c r="C7" s="1148"/>
      <c r="D7" s="1148"/>
      <c r="E7" s="1148"/>
      <c r="F7" s="1148"/>
      <c r="G7" s="1148"/>
      <c r="H7" s="1148"/>
      <c r="I7" s="1148"/>
      <c r="J7" s="1148"/>
      <c r="K7" s="1148"/>
      <c r="L7" s="1148"/>
      <c r="M7" s="1148"/>
      <c r="N7" s="1148"/>
    </row>
    <row r="8" spans="2:23">
      <c r="B8" s="1148"/>
      <c r="C8" s="1148"/>
      <c r="D8" s="1148"/>
      <c r="E8" s="1148"/>
      <c r="F8" s="1148"/>
      <c r="G8" s="1148"/>
      <c r="H8" s="1143" t="s">
        <v>533</v>
      </c>
      <c r="I8" s="1148"/>
      <c r="J8" s="1148"/>
      <c r="K8" s="1148"/>
      <c r="L8" s="1148"/>
      <c r="M8" s="1148"/>
      <c r="N8" s="1148"/>
    </row>
    <row r="9" spans="2:23">
      <c r="B9" s="1148"/>
      <c r="C9" s="1931" t="s">
        <v>553</v>
      </c>
      <c r="D9" s="1931"/>
      <c r="E9" s="1931"/>
      <c r="F9" s="1148"/>
      <c r="G9" s="1148"/>
      <c r="H9" s="1346" t="str">
        <f>'KEY INPUTS'!D45</f>
        <v>Dec. 31, 2018</v>
      </c>
      <c r="I9" s="1148"/>
      <c r="J9" s="1143" t="s">
        <v>554</v>
      </c>
      <c r="K9" s="1148"/>
      <c r="L9" s="1143" t="s">
        <v>533</v>
      </c>
      <c r="M9" s="1148"/>
      <c r="N9" s="1143" t="s">
        <v>672</v>
      </c>
    </row>
    <row r="10" spans="2:23">
      <c r="B10" s="1148"/>
      <c r="C10" s="1148"/>
      <c r="D10" s="1148"/>
      <c r="E10" s="1148"/>
      <c r="F10" s="1148"/>
      <c r="G10" s="1148"/>
      <c r="H10" s="1143" t="s">
        <v>552</v>
      </c>
      <c r="I10" s="1148"/>
      <c r="J10" s="1143">
        <f>'KEY INPUTS'!D34</f>
        <v>2019</v>
      </c>
      <c r="K10" s="1148"/>
      <c r="L10" s="1143" t="s">
        <v>555</v>
      </c>
      <c r="M10" s="1148"/>
      <c r="N10" s="1143" t="s">
        <v>556</v>
      </c>
    </row>
    <row r="11" spans="2:23">
      <c r="B11" s="1148"/>
      <c r="C11" s="1148"/>
      <c r="D11" s="1148"/>
      <c r="E11" s="1148"/>
      <c r="F11" s="1148"/>
      <c r="G11" s="1148"/>
      <c r="H11" s="1347" t="s">
        <v>551</v>
      </c>
      <c r="I11" s="1148"/>
      <c r="J11" s="1347" t="s">
        <v>677</v>
      </c>
      <c r="K11" s="1148"/>
      <c r="L11" s="1347">
        <f>'KEY INPUTS'!D34</f>
        <v>2019</v>
      </c>
      <c r="M11" s="1148"/>
      <c r="N11" s="1348" t="str">
        <f>'KEY INPUTS'!D46</f>
        <v>Dec. 31, 2019</v>
      </c>
      <c r="Q11" s="322"/>
      <c r="R11" s="322"/>
      <c r="S11" s="322"/>
      <c r="T11" s="322"/>
      <c r="U11" s="322"/>
      <c r="V11" s="322"/>
      <c r="W11" s="322"/>
    </row>
    <row r="12" spans="2:23">
      <c r="B12" s="1349" t="s">
        <v>384</v>
      </c>
      <c r="C12" s="1148" t="s">
        <v>1131</v>
      </c>
      <c r="D12" s="1148"/>
      <c r="E12" s="1148"/>
      <c r="F12" s="1148"/>
      <c r="G12" s="1148"/>
      <c r="H12" s="1148"/>
      <c r="I12" s="1148"/>
      <c r="J12" s="1148"/>
      <c r="K12" s="1148"/>
      <c r="L12" s="1148"/>
      <c r="M12" s="1148"/>
      <c r="N12" s="1148"/>
      <c r="Q12" s="322"/>
      <c r="R12" s="322"/>
      <c r="S12" s="322"/>
      <c r="T12" s="322"/>
      <c r="U12" s="322"/>
      <c r="V12" s="322"/>
      <c r="W12" s="322"/>
    </row>
    <row r="13" spans="2:23">
      <c r="B13" s="481"/>
      <c r="D13" s="331" t="s">
        <v>1132</v>
      </c>
      <c r="G13" s="331" t="s">
        <v>482</v>
      </c>
      <c r="H13" s="580"/>
      <c r="I13" s="331" t="s">
        <v>482</v>
      </c>
      <c r="J13" s="580"/>
      <c r="K13" s="331" t="s">
        <v>482</v>
      </c>
      <c r="L13" s="580"/>
      <c r="M13" s="331" t="s">
        <v>482</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3408</v>
      </c>
      <c r="D15" s="669"/>
      <c r="E15" s="669"/>
      <c r="F15" s="669"/>
      <c r="G15" s="331" t="s">
        <v>482</v>
      </c>
      <c r="H15" s="580"/>
      <c r="I15" s="331" t="s">
        <v>482</v>
      </c>
      <c r="J15" s="580"/>
      <c r="K15" s="331" t="s">
        <v>482</v>
      </c>
      <c r="L15" s="580"/>
      <c r="M15" s="331" t="s">
        <v>482</v>
      </c>
      <c r="N15" s="1226">
        <f>+H15-J15+L15</f>
        <v>0</v>
      </c>
      <c r="Q15" s="322"/>
      <c r="R15" s="322"/>
      <c r="S15" s="322"/>
      <c r="T15" s="322"/>
      <c r="U15" s="322"/>
      <c r="V15" s="322"/>
      <c r="W15" s="322"/>
    </row>
    <row r="16" spans="2:23" ht="21" customHeight="1">
      <c r="B16" s="481" t="s">
        <v>386</v>
      </c>
      <c r="C16" s="669"/>
      <c r="D16" s="669"/>
      <c r="E16" s="669"/>
      <c r="F16" s="669"/>
      <c r="G16" s="331" t="s">
        <v>482</v>
      </c>
      <c r="H16" s="580"/>
      <c r="I16" s="331" t="s">
        <v>482</v>
      </c>
      <c r="J16" s="580"/>
      <c r="K16" s="331" t="s">
        <v>482</v>
      </c>
      <c r="L16" s="580"/>
      <c r="M16" s="331" t="s">
        <v>482</v>
      </c>
      <c r="N16" s="1226">
        <f>+H16-J16+L16</f>
        <v>0</v>
      </c>
      <c r="Q16" s="322"/>
      <c r="R16" s="322"/>
      <c r="S16" s="322"/>
      <c r="T16" s="322"/>
      <c r="U16" s="322"/>
      <c r="V16" s="322"/>
      <c r="W16" s="322"/>
    </row>
    <row r="17" spans="2:23" ht="21" customHeight="1">
      <c r="B17" s="481" t="s">
        <v>387</v>
      </c>
      <c r="C17" s="669"/>
      <c r="D17" s="669"/>
      <c r="E17" s="669"/>
      <c r="F17" s="669"/>
      <c r="G17" s="331" t="s">
        <v>482</v>
      </c>
      <c r="H17" s="580"/>
      <c r="I17" s="331" t="s">
        <v>482</v>
      </c>
      <c r="J17" s="580"/>
      <c r="K17" s="331" t="s">
        <v>482</v>
      </c>
      <c r="L17" s="580"/>
      <c r="M17" s="331" t="s">
        <v>482</v>
      </c>
      <c r="N17" s="1226">
        <f t="shared" ref="N17:N23" si="0">+H17-J17+L17</f>
        <v>0</v>
      </c>
      <c r="Q17" s="322"/>
      <c r="R17" s="322"/>
      <c r="S17" s="322"/>
      <c r="T17" s="322"/>
      <c r="U17" s="322"/>
      <c r="V17" s="322"/>
      <c r="W17" s="322"/>
    </row>
    <row r="18" spans="2:23" ht="21" customHeight="1">
      <c r="B18" s="481" t="s">
        <v>388</v>
      </c>
      <c r="C18" s="669"/>
      <c r="D18" s="669"/>
      <c r="E18" s="669"/>
      <c r="F18" s="669"/>
      <c r="G18" s="331" t="s">
        <v>482</v>
      </c>
      <c r="H18" s="580"/>
      <c r="I18" s="331" t="s">
        <v>482</v>
      </c>
      <c r="J18" s="580"/>
      <c r="K18" s="331" t="s">
        <v>482</v>
      </c>
      <c r="L18" s="580"/>
      <c r="M18" s="331" t="s">
        <v>482</v>
      </c>
      <c r="N18" s="1226">
        <f t="shared" si="0"/>
        <v>0</v>
      </c>
      <c r="Q18" s="322"/>
      <c r="R18" s="322"/>
      <c r="S18" s="322"/>
      <c r="T18" s="322"/>
      <c r="U18" s="322"/>
      <c r="V18" s="322"/>
      <c r="W18" s="322"/>
    </row>
    <row r="19" spans="2:23" ht="21" customHeight="1">
      <c r="B19" s="481"/>
      <c r="C19" s="1228" t="s">
        <v>3491</v>
      </c>
      <c r="D19" s="1228"/>
      <c r="E19" s="1228"/>
      <c r="F19" s="1228"/>
      <c r="G19" s="741" t="s">
        <v>482</v>
      </c>
      <c r="H19" s="580"/>
      <c r="I19" s="741" t="s">
        <v>482</v>
      </c>
      <c r="J19" s="580"/>
      <c r="K19" s="741" t="s">
        <v>482</v>
      </c>
      <c r="L19" s="580"/>
      <c r="M19" s="331" t="s">
        <v>482</v>
      </c>
      <c r="N19" s="1226">
        <f t="shared" si="0"/>
        <v>0</v>
      </c>
      <c r="Q19" s="322"/>
      <c r="R19" s="322"/>
      <c r="S19" s="322"/>
      <c r="T19" s="322"/>
      <c r="U19" s="322"/>
      <c r="V19" s="322"/>
      <c r="W19" s="322"/>
    </row>
    <row r="20" spans="2:23" ht="21" customHeight="1">
      <c r="B20" s="481"/>
      <c r="C20" s="1350" t="s">
        <v>3492</v>
      </c>
      <c r="D20" s="1228"/>
      <c r="E20" s="1228"/>
      <c r="F20" s="1228"/>
      <c r="G20" s="741" t="s">
        <v>482</v>
      </c>
      <c r="H20" s="1227">
        <f>H13+H15+H16+H17+H18+H19</f>
        <v>0</v>
      </c>
      <c r="I20" s="741" t="s">
        <v>482</v>
      </c>
      <c r="J20" s="1227">
        <f>J13+J15+J16+J17+J18+J19</f>
        <v>0</v>
      </c>
      <c r="K20" s="741" t="s">
        <v>482</v>
      </c>
      <c r="L20" s="1227">
        <f>L13+L15+L16+L17+L18+L19</f>
        <v>0</v>
      </c>
      <c r="M20" s="331" t="s">
        <v>482</v>
      </c>
      <c r="N20" s="1227">
        <f>N13+N15+N16+N17+N18+N19</f>
        <v>0</v>
      </c>
      <c r="Q20" s="322"/>
      <c r="R20" s="322"/>
      <c r="S20" s="322"/>
      <c r="T20" s="322"/>
      <c r="U20" s="322"/>
      <c r="V20" s="322"/>
      <c r="W20" s="322"/>
    </row>
    <row r="21" spans="2:23" ht="21" customHeight="1">
      <c r="B21" s="481" t="s">
        <v>389</v>
      </c>
      <c r="C21" s="669"/>
      <c r="D21" s="669"/>
      <c r="E21" s="669"/>
      <c r="F21" s="669"/>
      <c r="G21" s="331" t="s">
        <v>482</v>
      </c>
      <c r="H21" s="580"/>
      <c r="I21" s="331" t="s">
        <v>482</v>
      </c>
      <c r="J21" s="580"/>
      <c r="K21" s="331" t="s">
        <v>482</v>
      </c>
      <c r="L21" s="580"/>
      <c r="M21" s="331" t="s">
        <v>482</v>
      </c>
      <c r="N21" s="1226">
        <f t="shared" si="0"/>
        <v>0</v>
      </c>
      <c r="Q21" s="322"/>
      <c r="R21" s="322"/>
      <c r="S21" s="322"/>
      <c r="T21" s="322"/>
      <c r="U21" s="322"/>
      <c r="V21" s="322"/>
      <c r="W21" s="322"/>
    </row>
    <row r="22" spans="2:23" ht="21" customHeight="1">
      <c r="B22" s="481" t="s">
        <v>390</v>
      </c>
      <c r="C22" s="669"/>
      <c r="D22" s="669"/>
      <c r="E22" s="669"/>
      <c r="F22" s="669"/>
      <c r="G22" s="331" t="s">
        <v>482</v>
      </c>
      <c r="H22" s="580"/>
      <c r="I22" s="331" t="s">
        <v>482</v>
      </c>
      <c r="J22" s="580"/>
      <c r="K22" s="331" t="s">
        <v>482</v>
      </c>
      <c r="L22" s="580"/>
      <c r="M22" s="331" t="s">
        <v>482</v>
      </c>
      <c r="N22" s="1226">
        <f t="shared" si="0"/>
        <v>0</v>
      </c>
      <c r="Q22" s="322"/>
      <c r="R22" s="322"/>
      <c r="S22" s="322"/>
      <c r="T22" s="322"/>
      <c r="U22" s="322"/>
      <c r="V22" s="322"/>
      <c r="W22" s="322"/>
    </row>
    <row r="23" spans="2:23" ht="21" customHeight="1">
      <c r="B23" s="481"/>
      <c r="C23" s="1350" t="s">
        <v>3783</v>
      </c>
      <c r="D23" s="1228"/>
      <c r="E23" s="1228"/>
      <c r="F23" s="1228"/>
      <c r="G23" s="741" t="s">
        <v>482</v>
      </c>
      <c r="H23" s="1227">
        <f>H21+H22</f>
        <v>0</v>
      </c>
      <c r="I23" s="741" t="s">
        <v>482</v>
      </c>
      <c r="J23" s="1227">
        <f>J21+J22</f>
        <v>0</v>
      </c>
      <c r="K23" s="741" t="s">
        <v>482</v>
      </c>
      <c r="L23" s="1227">
        <f>L21+L22</f>
        <v>0</v>
      </c>
      <c r="M23" s="331" t="s">
        <v>482</v>
      </c>
      <c r="N23" s="1226">
        <f t="shared" si="0"/>
        <v>0</v>
      </c>
      <c r="Q23" s="322"/>
      <c r="R23" s="322"/>
      <c r="S23" s="322"/>
      <c r="T23" s="322"/>
      <c r="U23" s="322"/>
      <c r="V23" s="322"/>
      <c r="W23" s="322"/>
    </row>
    <row r="24" spans="2:23">
      <c r="B24" s="481"/>
      <c r="Q24" s="322"/>
      <c r="R24" s="322"/>
      <c r="S24" s="322"/>
      <c r="T24" s="322"/>
      <c r="U24" s="322"/>
      <c r="V24" s="322"/>
      <c r="W24" s="322"/>
    </row>
    <row r="25" spans="2:23">
      <c r="B25" s="1349"/>
      <c r="C25" s="1148" t="s">
        <v>1134</v>
      </c>
      <c r="D25" s="1148"/>
      <c r="E25" s="1148"/>
      <c r="F25" s="1148"/>
      <c r="G25" s="1148"/>
      <c r="H25" s="1148"/>
      <c r="I25" s="1148"/>
      <c r="J25" s="1148"/>
      <c r="K25" s="1148"/>
      <c r="L25" s="1148"/>
      <c r="M25" s="1148"/>
      <c r="N25" s="1148"/>
      <c r="Q25" s="322"/>
      <c r="R25" s="322"/>
      <c r="S25" s="322"/>
      <c r="T25" s="322"/>
      <c r="U25" s="322"/>
      <c r="V25" s="322"/>
      <c r="W25" s="322"/>
    </row>
    <row r="26" spans="2:23">
      <c r="B26" s="1349"/>
      <c r="C26" s="1148"/>
      <c r="D26" s="1148"/>
      <c r="E26" s="1148"/>
      <c r="F26" s="1148"/>
      <c r="G26" s="1148"/>
      <c r="H26" s="1148"/>
      <c r="I26" s="1148"/>
      <c r="J26" s="1148"/>
      <c r="K26" s="1148"/>
      <c r="L26" s="1148"/>
      <c r="M26" s="1148"/>
      <c r="N26" s="1148"/>
      <c r="Q26" s="322"/>
      <c r="R26" s="322"/>
      <c r="S26" s="322"/>
      <c r="T26" s="322"/>
      <c r="U26" s="322"/>
      <c r="V26" s="322"/>
      <c r="W26" s="322"/>
    </row>
    <row r="27" spans="2:23">
      <c r="B27" s="1349"/>
      <c r="C27" s="1148"/>
      <c r="D27" s="1148"/>
      <c r="E27" s="1148"/>
      <c r="F27" s="1148"/>
      <c r="G27" s="1148"/>
      <c r="H27" s="1148"/>
      <c r="I27" s="1148"/>
      <c r="J27" s="1148"/>
      <c r="K27" s="1148"/>
      <c r="L27" s="1148"/>
      <c r="M27" s="1148"/>
      <c r="N27" s="1148"/>
      <c r="Q27" s="322"/>
      <c r="R27" s="322"/>
      <c r="S27" s="322"/>
      <c r="T27" s="322"/>
      <c r="U27" s="322"/>
      <c r="V27" s="322"/>
      <c r="W27" s="322"/>
    </row>
    <row r="28" spans="2:23" ht="15.6">
      <c r="B28" s="1928" t="s">
        <v>530</v>
      </c>
      <c r="C28" s="1928"/>
      <c r="D28" s="1928"/>
      <c r="E28" s="1928"/>
      <c r="F28" s="1928"/>
      <c r="G28" s="1928"/>
      <c r="H28" s="1928"/>
      <c r="I28" s="1928"/>
      <c r="J28" s="1928"/>
      <c r="K28" s="1928"/>
      <c r="L28" s="1928"/>
      <c r="M28" s="1928"/>
      <c r="N28" s="1928"/>
    </row>
    <row r="29" spans="2:23" ht="15.6">
      <c r="B29" s="1928" t="s">
        <v>531</v>
      </c>
      <c r="C29" s="1928"/>
      <c r="D29" s="1928"/>
      <c r="E29" s="1928"/>
      <c r="F29" s="1928"/>
      <c r="G29" s="1928"/>
      <c r="H29" s="1928"/>
      <c r="I29" s="1928"/>
      <c r="J29" s="1928"/>
      <c r="K29" s="1928"/>
      <c r="L29" s="1928"/>
      <c r="M29" s="1928"/>
      <c r="N29" s="1928"/>
    </row>
    <row r="30" spans="2:23" ht="6.75" customHeight="1">
      <c r="B30" s="1351"/>
      <c r="C30" s="1351"/>
      <c r="D30" s="1351"/>
      <c r="E30" s="1351"/>
      <c r="F30" s="1351"/>
      <c r="G30" s="1351"/>
      <c r="H30" s="1351"/>
      <c r="I30" s="1351"/>
      <c r="J30" s="1351"/>
      <c r="K30" s="1351"/>
      <c r="L30" s="1351"/>
      <c r="M30" s="1351"/>
      <c r="N30" s="1351"/>
    </row>
    <row r="31" spans="2:23" ht="18" customHeight="1">
      <c r="B31" s="1349"/>
      <c r="C31" s="1148"/>
      <c r="D31" s="1932" t="s">
        <v>18</v>
      </c>
      <c r="E31" s="1932"/>
      <c r="F31" s="1352"/>
      <c r="G31" s="1932" t="s">
        <v>532</v>
      </c>
      <c r="H31" s="1932"/>
      <c r="I31" s="1932"/>
      <c r="J31" s="1932"/>
      <c r="K31" s="1932"/>
      <c r="L31" s="1932"/>
      <c r="M31" s="1352"/>
      <c r="N31" s="1353" t="s">
        <v>533</v>
      </c>
    </row>
    <row r="32" spans="2:23" ht="21" customHeight="1">
      <c r="B32" s="481"/>
      <c r="C32" s="481" t="s">
        <v>384</v>
      </c>
      <c r="D32" s="669"/>
      <c r="E32" s="669"/>
      <c r="G32" s="669"/>
      <c r="H32" s="669"/>
      <c r="I32" s="669"/>
      <c r="J32" s="669"/>
      <c r="K32" s="669"/>
      <c r="L32" s="669"/>
      <c r="M32" s="331" t="s">
        <v>482</v>
      </c>
      <c r="N32" s="376"/>
    </row>
    <row r="33" spans="2:14" ht="21" customHeight="1">
      <c r="B33" s="481"/>
      <c r="C33" s="481" t="s">
        <v>385</v>
      </c>
      <c r="D33" s="669"/>
      <c r="E33" s="669"/>
      <c r="G33" s="669"/>
      <c r="H33" s="669"/>
      <c r="I33" s="669"/>
      <c r="J33" s="669"/>
      <c r="K33" s="669"/>
      <c r="L33" s="669"/>
      <c r="M33" s="331" t="s">
        <v>482</v>
      </c>
      <c r="N33" s="376"/>
    </row>
    <row r="34" spans="2:14" ht="21" customHeight="1">
      <c r="B34" s="481"/>
      <c r="C34" s="481" t="s">
        <v>386</v>
      </c>
      <c r="D34" s="669"/>
      <c r="E34" s="669"/>
      <c r="G34" s="669"/>
      <c r="H34" s="669"/>
      <c r="I34" s="669"/>
      <c r="J34" s="669"/>
      <c r="K34" s="669"/>
      <c r="L34" s="669"/>
      <c r="M34" s="331" t="s">
        <v>482</v>
      </c>
      <c r="N34" s="376"/>
    </row>
    <row r="35" spans="2:14" ht="21" customHeight="1">
      <c r="B35" s="481"/>
      <c r="C35" s="481" t="s">
        <v>387</v>
      </c>
      <c r="D35" s="669"/>
      <c r="E35" s="669"/>
      <c r="G35" s="669"/>
      <c r="H35" s="669"/>
      <c r="I35" s="669"/>
      <c r="J35" s="669"/>
      <c r="K35" s="669"/>
      <c r="L35" s="669"/>
      <c r="M35" s="331" t="s">
        <v>482</v>
      </c>
      <c r="N35" s="376"/>
    </row>
    <row r="36" spans="2:14" ht="21" customHeight="1">
      <c r="B36" s="481"/>
      <c r="C36" s="481" t="s">
        <v>388</v>
      </c>
      <c r="D36" s="669"/>
      <c r="E36" s="669"/>
      <c r="G36" s="669"/>
      <c r="H36" s="669"/>
      <c r="I36" s="669"/>
      <c r="J36" s="669"/>
      <c r="K36" s="669"/>
      <c r="L36" s="669"/>
      <c r="M36" s="331" t="s">
        <v>482</v>
      </c>
      <c r="N36" s="376"/>
    </row>
    <row r="37" spans="2:14">
      <c r="B37" s="1349"/>
      <c r="C37" s="1148"/>
      <c r="D37" s="1148"/>
      <c r="E37" s="1148"/>
      <c r="F37" s="1148"/>
      <c r="G37" s="1148"/>
      <c r="H37" s="1148"/>
      <c r="I37" s="1148"/>
      <c r="J37" s="1148"/>
      <c r="K37" s="1148"/>
      <c r="L37" s="1148"/>
      <c r="M37" s="1148"/>
      <c r="N37" s="1148"/>
    </row>
    <row r="38" spans="2:14">
      <c r="B38" s="1349"/>
      <c r="C38" s="1148"/>
      <c r="D38" s="1148"/>
      <c r="E38" s="1148"/>
      <c r="F38" s="1148"/>
      <c r="G38" s="1148"/>
      <c r="H38" s="1148"/>
      <c r="I38" s="1148"/>
      <c r="J38" s="1148"/>
      <c r="K38" s="1148"/>
      <c r="L38" s="1148"/>
      <c r="M38" s="1148"/>
      <c r="N38" s="1148"/>
    </row>
    <row r="39" spans="2:14">
      <c r="B39" s="1349"/>
      <c r="C39" s="1148"/>
      <c r="D39" s="1148"/>
      <c r="E39" s="1148"/>
      <c r="F39" s="1148"/>
      <c r="G39" s="1148"/>
      <c r="H39" s="1148"/>
      <c r="I39" s="1148"/>
      <c r="J39" s="1148"/>
      <c r="K39" s="1148"/>
      <c r="L39" s="1148"/>
      <c r="M39" s="1148"/>
      <c r="N39" s="1148"/>
    </row>
    <row r="40" spans="2:14" ht="15.6">
      <c r="B40" s="1928" t="s">
        <v>322</v>
      </c>
      <c r="C40" s="1928"/>
      <c r="D40" s="1928"/>
      <c r="E40" s="1928"/>
      <c r="F40" s="1928"/>
      <c r="G40" s="1928"/>
      <c r="H40" s="1928"/>
      <c r="I40" s="1928"/>
      <c r="J40" s="1928"/>
      <c r="K40" s="1928"/>
      <c r="L40" s="1928"/>
      <c r="M40" s="1928"/>
      <c r="N40" s="1928"/>
    </row>
    <row r="41" spans="2:14">
      <c r="B41" s="1349"/>
      <c r="C41" s="1148"/>
      <c r="D41" s="1148"/>
      <c r="E41" s="1148"/>
      <c r="F41" s="1148"/>
      <c r="G41" s="1148"/>
      <c r="H41" s="1148"/>
      <c r="I41" s="1148"/>
      <c r="J41" s="1148"/>
      <c r="K41" s="1148"/>
      <c r="L41" s="1148"/>
      <c r="M41" s="1148"/>
      <c r="N41" s="1148"/>
    </row>
    <row r="42" spans="2:14">
      <c r="B42" s="1349"/>
      <c r="C42" s="1148"/>
      <c r="D42" s="1148"/>
      <c r="E42" s="1148"/>
      <c r="F42" s="1148"/>
      <c r="G42" s="1148"/>
      <c r="H42" s="1148"/>
      <c r="I42" s="1148"/>
      <c r="J42" s="1148"/>
      <c r="K42" s="1148"/>
      <c r="L42" s="1148"/>
      <c r="M42" s="1148"/>
      <c r="N42" s="1143" t="s">
        <v>538</v>
      </c>
    </row>
    <row r="43" spans="2:14">
      <c r="B43" s="1349"/>
      <c r="C43" s="1148"/>
      <c r="D43" s="1148"/>
      <c r="E43" s="1148"/>
      <c r="F43" s="1148"/>
      <c r="G43" s="1148"/>
      <c r="H43" s="1148"/>
      <c r="I43" s="1148"/>
      <c r="J43" s="1148"/>
      <c r="K43" s="1148"/>
      <c r="L43" s="1148"/>
      <c r="M43" s="1148"/>
      <c r="N43" s="1143" t="s">
        <v>539</v>
      </c>
    </row>
    <row r="44" spans="2:14">
      <c r="B44" s="1349"/>
      <c r="C44" s="1148"/>
      <c r="D44" s="1931" t="s">
        <v>535</v>
      </c>
      <c r="E44" s="1931"/>
      <c r="F44" s="1148"/>
      <c r="G44" s="1148"/>
      <c r="H44" s="1931" t="s">
        <v>536</v>
      </c>
      <c r="I44" s="1931"/>
      <c r="J44" s="1347" t="s">
        <v>537</v>
      </c>
      <c r="K44" s="1148"/>
      <c r="L44" s="1347" t="s">
        <v>533</v>
      </c>
      <c r="M44" s="1148"/>
      <c r="N44" s="1347" t="str">
        <f>"Year "&amp;TEXT('KEY INPUTS'!D34,"0")&amp;""</f>
        <v>Year 2019</v>
      </c>
    </row>
    <row r="45" spans="2:14">
      <c r="B45" s="1349"/>
      <c r="C45" s="1148"/>
      <c r="D45" s="1148"/>
      <c r="E45" s="1148"/>
      <c r="F45" s="1148"/>
      <c r="G45" s="1148"/>
      <c r="H45" s="1148"/>
      <c r="I45" s="1148"/>
      <c r="J45" s="1148"/>
      <c r="K45" s="1148"/>
      <c r="L45" s="1148"/>
      <c r="M45" s="1148"/>
      <c r="N45" s="1148"/>
    </row>
    <row r="46" spans="2:14" ht="21" customHeight="1">
      <c r="B46" s="481"/>
      <c r="C46" s="481" t="s">
        <v>384</v>
      </c>
      <c r="D46" s="669"/>
      <c r="E46" s="669"/>
      <c r="F46" s="669"/>
      <c r="G46" s="669"/>
      <c r="H46" s="669"/>
      <c r="I46" s="669"/>
      <c r="J46" s="669"/>
      <c r="K46" s="331" t="s">
        <v>482</v>
      </c>
      <c r="L46" s="376"/>
      <c r="M46" s="668"/>
      <c r="N46" s="376"/>
    </row>
    <row r="47" spans="2:14" ht="21" customHeight="1">
      <c r="B47" s="481"/>
      <c r="C47" s="481" t="s">
        <v>385</v>
      </c>
      <c r="D47" s="669"/>
      <c r="E47" s="669"/>
      <c r="F47" s="669"/>
      <c r="G47" s="669"/>
      <c r="H47" s="669"/>
      <c r="I47" s="669"/>
      <c r="J47" s="669"/>
      <c r="K47" s="331" t="s">
        <v>482</v>
      </c>
      <c r="L47" s="376"/>
      <c r="M47" s="668"/>
      <c r="N47" s="376"/>
    </row>
    <row r="48" spans="2:14" ht="21" customHeight="1">
      <c r="B48" s="481"/>
      <c r="C48" s="481" t="s">
        <v>386</v>
      </c>
      <c r="D48" s="669"/>
      <c r="E48" s="669"/>
      <c r="F48" s="669"/>
      <c r="G48" s="669"/>
      <c r="H48" s="669"/>
      <c r="I48" s="669"/>
      <c r="J48" s="669"/>
      <c r="K48" s="331" t="s">
        <v>482</v>
      </c>
      <c r="L48" s="376"/>
      <c r="M48" s="668"/>
      <c r="N48" s="376"/>
    </row>
    <row r="49" spans="2:14" ht="21" customHeight="1">
      <c r="B49" s="481"/>
      <c r="C49" s="481" t="s">
        <v>387</v>
      </c>
      <c r="D49" s="669"/>
      <c r="E49" s="669"/>
      <c r="F49" s="669"/>
      <c r="G49" s="669"/>
      <c r="H49" s="669"/>
      <c r="I49" s="669"/>
      <c r="J49" s="669"/>
      <c r="K49" s="331" t="s">
        <v>482</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3.8">
      <c r="B61" s="1814" t="s">
        <v>3445</v>
      </c>
      <c r="C61" s="1814"/>
      <c r="D61" s="1814"/>
      <c r="E61" s="1814"/>
      <c r="F61" s="1814"/>
      <c r="G61" s="1814"/>
      <c r="H61" s="1814"/>
      <c r="I61" s="1814"/>
      <c r="J61" s="1814"/>
      <c r="K61" s="1814"/>
      <c r="L61" s="1814"/>
      <c r="M61" s="1814"/>
      <c r="N61" s="1814"/>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7byU88lQWKrX4Kj66px3n8pkfRyvYtb3DB0jf7D6TXzdNOCcFoTOdhj7qcqtFSB9A/3RGSByR86EJGSomWrKMg==" saltValue="p+ZQddKtJPLMdiVlsbbCq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0">
    <tabColor theme="3" tint="0.79998168889431442"/>
  </sheetPr>
  <dimension ref="B1:U50"/>
  <sheetViews>
    <sheetView zoomScaleNormal="100" zoomScaleSheetLayoutView="80" workbookViewId="0">
      <selection activeCell="B1" sqref="B1"/>
    </sheetView>
  </sheetViews>
  <sheetFormatPr defaultColWidth="8.88671875" defaultRowHeight="13.2"/>
  <cols>
    <col min="1" max="4" width="4.6640625" style="398" customWidth="1"/>
    <col min="5" max="5" width="17.88671875" style="398" customWidth="1"/>
    <col min="6" max="6" width="8.88671875" style="398"/>
    <col min="7" max="7" width="16.6640625" style="398" customWidth="1"/>
    <col min="8" max="8" width="1.6640625" style="398" customWidth="1"/>
    <col min="9" max="9" width="15.6640625" style="398" customWidth="1"/>
    <col min="10" max="10" width="1.6640625" style="398" customWidth="1"/>
    <col min="11" max="11" width="8.6640625" style="398" customWidth="1"/>
    <col min="12" max="12" width="7.6640625" style="398" customWidth="1"/>
    <col min="13" max="15" width="8.88671875" style="398"/>
    <col min="16" max="17" width="10.33203125" style="398" bestFit="1" customWidth="1"/>
    <col min="18" max="16384" width="8.88671875" style="398"/>
  </cols>
  <sheetData>
    <row r="1" spans="2:21">
      <c r="B1" s="1116"/>
      <c r="C1" s="1116"/>
      <c r="D1" s="1116"/>
      <c r="E1" s="1116"/>
      <c r="F1" s="1116"/>
      <c r="G1" s="1116"/>
      <c r="H1" s="1116"/>
      <c r="I1" s="1116"/>
      <c r="J1" s="1116"/>
      <c r="K1" s="1116"/>
      <c r="L1" s="1116"/>
    </row>
    <row r="2" spans="2:21" ht="20.399999999999999">
      <c r="B2" s="1789" t="s">
        <v>160</v>
      </c>
      <c r="C2" s="1789"/>
      <c r="D2" s="1789"/>
      <c r="E2" s="1789"/>
      <c r="F2" s="1789"/>
      <c r="G2" s="1789"/>
      <c r="H2" s="1789"/>
      <c r="I2" s="1789"/>
      <c r="J2" s="1789"/>
      <c r="K2" s="1789"/>
      <c r="L2" s="1789"/>
    </row>
    <row r="3" spans="2:21" ht="20.399999999999999">
      <c r="B3" s="1789" t="str">
        <f>"AND  "&amp;TEXT('KEY INPUTS'!D34+1,"0")&amp;"  DEBT  SERVICE  FOR  BONDS"</f>
        <v>AND  2020  DEBT  SERVICE  FOR  BONDS</v>
      </c>
      <c r="C3" s="1789"/>
      <c r="D3" s="1789"/>
      <c r="E3" s="1789"/>
      <c r="F3" s="1789"/>
      <c r="G3" s="1789"/>
      <c r="H3" s="1789"/>
      <c r="I3" s="1789"/>
      <c r="J3" s="1789"/>
      <c r="K3" s="1789"/>
      <c r="L3" s="1789"/>
    </row>
    <row r="4" spans="2:21" ht="15.6">
      <c r="B4" s="1762" t="str">
        <f>UPPER('KEY INPUTS'!D57)&amp;" UTILITY  ASSESSMENT  BONDS"</f>
        <v xml:space="preserve"> UTILITY  ASSESSMENT  BONDS</v>
      </c>
      <c r="C4" s="1762"/>
      <c r="D4" s="1762"/>
      <c r="E4" s="1762"/>
      <c r="F4" s="1762"/>
      <c r="G4" s="1762"/>
      <c r="H4" s="1762"/>
      <c r="I4" s="1762"/>
      <c r="J4" s="1762"/>
      <c r="K4" s="1762"/>
      <c r="L4" s="1762"/>
    </row>
    <row r="5" spans="2:21" ht="9.75" customHeight="1" thickBot="1">
      <c r="B5" s="1381"/>
      <c r="C5" s="1381"/>
      <c r="D5" s="1381"/>
      <c r="E5" s="1381"/>
      <c r="F5" s="1381"/>
      <c r="G5" s="1381"/>
      <c r="H5" s="1381"/>
      <c r="I5" s="1381"/>
      <c r="J5" s="1381"/>
      <c r="K5" s="1381"/>
      <c r="L5" s="1381"/>
    </row>
    <row r="6" spans="2:21" ht="27.75" customHeight="1" thickTop="1" thickBot="1">
      <c r="B6" s="1335"/>
      <c r="C6" s="1335"/>
      <c r="D6" s="1335"/>
      <c r="E6" s="1335"/>
      <c r="F6" s="1335"/>
      <c r="G6" s="1117" t="s">
        <v>125</v>
      </c>
      <c r="H6" s="1933" t="s">
        <v>126</v>
      </c>
      <c r="I6" s="1764"/>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72"/>
      <c r="D7" s="1172"/>
      <c r="E7" s="1172"/>
      <c r="F7" s="1172"/>
      <c r="G7" s="1173" t="s">
        <v>788</v>
      </c>
      <c r="H7" s="1706"/>
      <c r="I7" s="1707"/>
      <c r="K7" s="1116"/>
      <c r="L7" s="1116"/>
      <c r="O7" s="322"/>
      <c r="P7" s="322"/>
      <c r="Q7" s="322"/>
      <c r="R7" s="322"/>
      <c r="S7" s="322"/>
      <c r="T7" s="322"/>
      <c r="U7" s="322"/>
    </row>
    <row r="8" spans="2:21" ht="21" customHeight="1">
      <c r="B8" s="691" t="s">
        <v>113</v>
      </c>
      <c r="C8" s="691"/>
      <c r="D8" s="691"/>
      <c r="E8" s="691"/>
      <c r="F8" s="691"/>
      <c r="G8" s="1176" t="s">
        <v>788</v>
      </c>
      <c r="H8" s="1680"/>
      <c r="I8" s="1681"/>
      <c r="K8" s="1116"/>
      <c r="L8" s="1116"/>
      <c r="O8" s="377"/>
      <c r="P8" s="322"/>
      <c r="Q8" s="322"/>
      <c r="R8" s="322"/>
      <c r="S8" s="322"/>
      <c r="T8" s="322"/>
      <c r="U8" s="322"/>
    </row>
    <row r="9" spans="2:21" ht="21" customHeight="1">
      <c r="B9" s="691"/>
      <c r="C9" s="691"/>
      <c r="D9" s="691"/>
      <c r="E9" s="691"/>
      <c r="F9" s="691"/>
      <c r="G9" s="1176"/>
      <c r="H9" s="787"/>
      <c r="I9" s="1231"/>
      <c r="K9" s="1116"/>
      <c r="L9" s="1116"/>
      <c r="O9" s="322"/>
      <c r="P9" s="322"/>
      <c r="Q9" s="322"/>
      <c r="R9" s="322"/>
      <c r="S9" s="322"/>
      <c r="T9" s="322"/>
      <c r="U9" s="322"/>
    </row>
    <row r="10" spans="2:21" ht="21" customHeight="1">
      <c r="B10" s="691" t="s">
        <v>326</v>
      </c>
      <c r="C10" s="691"/>
      <c r="D10" s="691"/>
      <c r="E10" s="691"/>
      <c r="F10" s="691"/>
      <c r="G10" s="601"/>
      <c r="H10" s="1831" t="s">
        <v>788</v>
      </c>
      <c r="I10" s="1832"/>
      <c r="K10" s="1116"/>
      <c r="L10" s="1116"/>
      <c r="O10" s="322"/>
      <c r="P10" s="322"/>
      <c r="Q10" s="322"/>
      <c r="R10" s="322"/>
      <c r="S10" s="322"/>
      <c r="T10" s="322"/>
      <c r="U10" s="322"/>
    </row>
    <row r="11" spans="2:21" ht="21" customHeight="1" thickBot="1">
      <c r="B11" s="691" t="str">
        <f>'KEY INPUTS'!D28</f>
        <v>Outstanding - December 31, 2019</v>
      </c>
      <c r="C11" s="691"/>
      <c r="D11" s="691"/>
      <c r="E11" s="691"/>
      <c r="F11" s="691"/>
      <c r="G11" s="1131">
        <f>+H7+H8-G10</f>
        <v>0</v>
      </c>
      <c r="H11" s="1833" t="s">
        <v>788</v>
      </c>
      <c r="I11" s="1834"/>
      <c r="K11" s="1116"/>
      <c r="L11" s="1116"/>
      <c r="O11" s="322"/>
      <c r="P11" s="322"/>
      <c r="Q11" s="322"/>
      <c r="R11" s="322"/>
      <c r="S11" s="322"/>
      <c r="T11" s="322"/>
      <c r="U11" s="322"/>
    </row>
    <row r="12" spans="2:21" ht="21" customHeight="1" thickBot="1">
      <c r="B12" s="1116"/>
      <c r="C12" s="1116"/>
      <c r="D12" s="1116"/>
      <c r="E12" s="1116"/>
      <c r="F12" s="1116"/>
      <c r="G12" s="1133">
        <f>SUM(G7:G11)</f>
        <v>0</v>
      </c>
      <c r="H12" s="1838">
        <f>SUM(H7:I11)</f>
        <v>0</v>
      </c>
      <c r="I12" s="1839"/>
      <c r="K12" s="1116"/>
      <c r="L12" s="1116"/>
      <c r="O12" s="322"/>
      <c r="P12" s="322"/>
      <c r="Q12" s="322"/>
      <c r="R12" s="322"/>
      <c r="S12" s="322"/>
      <c r="T12" s="322"/>
      <c r="U12" s="322"/>
    </row>
    <row r="13" spans="2:21" ht="21" customHeight="1" thickTop="1">
      <c r="B13" s="1384" t="str">
        <f>TEXT('KEY INPUTS'!D34+1,"0")&amp;" Bond Maturities - Assessment Bonds"</f>
        <v>2020 Bond Maturities - Assessment Bonds</v>
      </c>
      <c r="C13" s="1130"/>
      <c r="D13" s="1130"/>
      <c r="E13" s="1130"/>
      <c r="F13" s="1130"/>
      <c r="G13" s="1130"/>
      <c r="H13" s="1130"/>
      <c r="I13" s="1383"/>
      <c r="J13" s="451" t="s">
        <v>482</v>
      </c>
      <c r="K13" s="1715"/>
      <c r="L13" s="1715"/>
      <c r="O13" s="322"/>
      <c r="P13" s="322"/>
      <c r="Q13" s="322"/>
      <c r="R13" s="322"/>
      <c r="S13" s="322"/>
      <c r="T13" s="322"/>
      <c r="U13" s="322"/>
    </row>
    <row r="14" spans="2:21" ht="21" customHeight="1" thickBot="1">
      <c r="B14" s="1385" t="str">
        <f>TEXT('KEY INPUTS'!D34+1,"0")&amp;" Interest on Bonds"</f>
        <v>2020 Interest on Bonds</v>
      </c>
      <c r="C14" s="1234"/>
      <c r="D14" s="1234"/>
      <c r="E14" s="1234"/>
      <c r="F14" s="1234"/>
      <c r="G14" s="1259"/>
      <c r="H14" s="488" t="s">
        <v>482</v>
      </c>
      <c r="I14" s="608"/>
      <c r="K14" s="1116"/>
      <c r="L14" s="1116"/>
      <c r="O14" s="322"/>
      <c r="P14" s="322"/>
      <c r="Q14" s="322"/>
      <c r="R14" s="322"/>
      <c r="S14" s="322"/>
      <c r="T14" s="322"/>
      <c r="U14" s="322"/>
    </row>
    <row r="15" spans="2:21" ht="16.5" customHeight="1" thickTop="1">
      <c r="B15" s="1952"/>
      <c r="C15" s="1952"/>
      <c r="D15" s="1952"/>
      <c r="E15" s="1952"/>
      <c r="F15" s="1952"/>
      <c r="G15" s="1952"/>
      <c r="H15" s="1952"/>
      <c r="I15" s="1953"/>
      <c r="K15" s="1116"/>
      <c r="L15" s="1116"/>
      <c r="O15" s="322"/>
      <c r="P15" s="322"/>
      <c r="Q15" s="322"/>
      <c r="R15" s="322"/>
      <c r="S15" s="322"/>
      <c r="T15" s="322"/>
      <c r="U15" s="322"/>
    </row>
    <row r="16" spans="2:21" ht="26.25" customHeight="1" thickBot="1">
      <c r="B16" s="1936" t="str">
        <f>UPPER('KEY INPUTS'!D57) &amp;" UTILITY  CAPITAL  BONDS"</f>
        <v xml:space="preserve"> UTILITY  CAPITAL  BONDS</v>
      </c>
      <c r="C16" s="1936"/>
      <c r="D16" s="1936"/>
      <c r="E16" s="1936"/>
      <c r="F16" s="1936"/>
      <c r="G16" s="1936"/>
      <c r="H16" s="1936"/>
      <c r="I16" s="1937"/>
      <c r="K16" s="1116"/>
      <c r="L16" s="1116"/>
      <c r="O16" s="322"/>
      <c r="P16" s="322"/>
      <c r="Q16" s="322"/>
      <c r="R16" s="322"/>
      <c r="S16" s="322"/>
      <c r="T16" s="322"/>
      <c r="U16" s="322"/>
    </row>
    <row r="17" spans="2:21" ht="21" customHeight="1" thickTop="1">
      <c r="B17" s="1213" t="str">
        <f>'KEY INPUTS'!D27</f>
        <v>Outstanding - January 1, 2019</v>
      </c>
      <c r="C17" s="1172"/>
      <c r="D17" s="1172"/>
      <c r="E17" s="1172"/>
      <c r="F17" s="1172"/>
      <c r="G17" s="1173" t="s">
        <v>788</v>
      </c>
      <c r="H17" s="1706"/>
      <c r="I17" s="1707"/>
      <c r="K17" s="1116"/>
      <c r="L17" s="1116"/>
      <c r="O17" s="322"/>
      <c r="P17" s="322"/>
      <c r="Q17" s="322"/>
      <c r="R17" s="322"/>
      <c r="S17" s="322"/>
      <c r="T17" s="322"/>
      <c r="U17" s="322"/>
    </row>
    <row r="18" spans="2:21" ht="21" customHeight="1">
      <c r="B18" s="691" t="s">
        <v>113</v>
      </c>
      <c r="C18" s="691"/>
      <c r="D18" s="691"/>
      <c r="E18" s="691"/>
      <c r="F18" s="691"/>
      <c r="G18" s="1176" t="s">
        <v>788</v>
      </c>
      <c r="H18" s="1680"/>
      <c r="I18" s="1681"/>
      <c r="K18" s="1116"/>
      <c r="L18" s="1116"/>
      <c r="O18" s="322"/>
      <c r="P18" s="322"/>
      <c r="Q18" s="322"/>
      <c r="R18" s="322"/>
      <c r="S18" s="322"/>
      <c r="T18" s="322"/>
      <c r="U18" s="322"/>
    </row>
    <row r="19" spans="2:21" ht="21" customHeight="1">
      <c r="B19" s="691" t="s">
        <v>326</v>
      </c>
      <c r="C19" s="691"/>
      <c r="D19" s="691"/>
      <c r="E19" s="691"/>
      <c r="F19" s="691"/>
      <c r="G19" s="601"/>
      <c r="H19" s="1831" t="s">
        <v>788</v>
      </c>
      <c r="I19" s="1832"/>
      <c r="K19" s="1116"/>
      <c r="L19" s="1116"/>
      <c r="O19" s="322"/>
      <c r="P19" s="322"/>
      <c r="Q19" s="322"/>
      <c r="R19" s="322"/>
      <c r="S19" s="322"/>
      <c r="T19" s="322"/>
      <c r="U19" s="322"/>
    </row>
    <row r="20" spans="2:21" ht="21" customHeight="1">
      <c r="B20" s="691"/>
      <c r="C20" s="691"/>
      <c r="D20" s="691"/>
      <c r="E20" s="691"/>
      <c r="F20" s="691"/>
      <c r="G20" s="690"/>
      <c r="H20" s="1840"/>
      <c r="I20" s="1841"/>
      <c r="K20" s="1116"/>
      <c r="L20" s="1116"/>
      <c r="O20" s="322"/>
      <c r="P20" s="322"/>
      <c r="Q20" s="322"/>
      <c r="R20" s="322"/>
      <c r="S20" s="322"/>
      <c r="T20" s="322"/>
      <c r="U20" s="322"/>
    </row>
    <row r="21" spans="2:21" ht="21" customHeight="1">
      <c r="B21" s="691"/>
      <c r="C21" s="691"/>
      <c r="D21" s="691"/>
      <c r="E21" s="691"/>
      <c r="F21" s="691"/>
      <c r="G21" s="690"/>
      <c r="H21" s="1840"/>
      <c r="I21" s="1841"/>
      <c r="K21" s="1116"/>
      <c r="L21" s="1116"/>
      <c r="O21" s="322"/>
      <c r="P21" s="322"/>
      <c r="Q21" s="322"/>
      <c r="R21" s="322"/>
      <c r="S21" s="322"/>
      <c r="T21" s="322"/>
      <c r="U21" s="322"/>
    </row>
    <row r="22" spans="2:21" ht="21" customHeight="1" thickBot="1">
      <c r="B22" s="691" t="str">
        <f>'KEY INPUTS'!D28</f>
        <v>Outstanding - December 31, 2019</v>
      </c>
      <c r="C22" s="691"/>
      <c r="D22" s="691"/>
      <c r="E22" s="691"/>
      <c r="F22" s="691"/>
      <c r="G22" s="1131">
        <f>+H17+H18-G19-G20-G21+H20+H21</f>
        <v>0</v>
      </c>
      <c r="H22" s="1833" t="s">
        <v>788</v>
      </c>
      <c r="I22" s="1834"/>
      <c r="K22" s="1116"/>
      <c r="L22" s="1116"/>
      <c r="O22" s="322"/>
      <c r="P22" s="322"/>
      <c r="Q22" s="322"/>
      <c r="R22" s="322"/>
      <c r="S22" s="322"/>
      <c r="T22" s="322"/>
      <c r="U22" s="322"/>
    </row>
    <row r="23" spans="2:21" ht="21" customHeight="1" thickBot="1">
      <c r="B23" s="1116"/>
      <c r="C23" s="1116"/>
      <c r="D23" s="1116"/>
      <c r="E23" s="1116"/>
      <c r="F23" s="1116"/>
      <c r="G23" s="1133">
        <f>SUM(G17:G22)</f>
        <v>0</v>
      </c>
      <c r="H23" s="1838">
        <f>SUM(H17:I22)</f>
        <v>0</v>
      </c>
      <c r="I23" s="1839"/>
      <c r="K23" s="1116"/>
      <c r="L23" s="1116"/>
    </row>
    <row r="24" spans="2:21" ht="21" customHeight="1" thickTop="1">
      <c r="B24" s="1384" t="str">
        <f>TEXT('KEY INPUTS'!D34+1,"0")&amp;" Bond Maturities - Capital Bonds"</f>
        <v>2020 Bond Maturities - Capital Bonds</v>
      </c>
      <c r="C24" s="1130"/>
      <c r="D24" s="1130"/>
      <c r="E24" s="1130"/>
      <c r="F24" s="1130"/>
      <c r="G24" s="1130"/>
      <c r="H24" s="1130"/>
      <c r="I24" s="1386"/>
      <c r="J24" s="451" t="s">
        <v>482</v>
      </c>
      <c r="K24" s="1715"/>
      <c r="L24" s="1715"/>
    </row>
    <row r="25" spans="2:21" ht="21" customHeight="1" thickBot="1">
      <c r="B25" s="1385" t="str">
        <f>TEXT('KEY INPUTS'!D34+1,"0")&amp;" Interest on Bonds"</f>
        <v>2020 Interest on Bonds</v>
      </c>
      <c r="C25" s="1234"/>
      <c r="D25" s="1234"/>
      <c r="E25" s="1234"/>
      <c r="F25" s="1234"/>
      <c r="G25" s="1259"/>
      <c r="H25" s="488" t="s">
        <v>482</v>
      </c>
      <c r="I25" s="608"/>
      <c r="J25" s="489"/>
      <c r="K25" s="1234"/>
      <c r="L25" s="1385" t="s">
        <v>3408</v>
      </c>
    </row>
    <row r="26" spans="2:21" ht="21" customHeight="1" thickTop="1">
      <c r="B26" s="1116"/>
      <c r="C26" s="1116"/>
      <c r="D26" s="1116"/>
      <c r="E26" s="1116"/>
      <c r="F26" s="1116"/>
      <c r="G26" s="1116"/>
      <c r="H26" s="1116"/>
      <c r="I26" s="1116"/>
      <c r="J26" s="1116"/>
      <c r="K26" s="1116"/>
      <c r="L26" s="1116"/>
    </row>
    <row r="27" spans="2:21" ht="19.5" customHeight="1" thickBot="1">
      <c r="B27" s="1936" t="str">
        <f>"INTEREST  ON  BONDS  -  "&amp;UPPER('KEY INPUTS'!D57)&amp;"  UTILITY  BUDGET"</f>
        <v>INTEREST  ON  BONDS  -    UTILITY  BUDGET</v>
      </c>
      <c r="C27" s="1936"/>
      <c r="D27" s="1936"/>
      <c r="E27" s="1936"/>
      <c r="F27" s="1936"/>
      <c r="G27" s="1936"/>
      <c r="H27" s="1936"/>
      <c r="I27" s="1936"/>
      <c r="J27" s="1936"/>
      <c r="K27" s="1936"/>
      <c r="L27" s="1936"/>
    </row>
    <row r="28" spans="2:21" ht="21" customHeight="1" thickTop="1">
      <c r="B28" s="1396" t="str">
        <f>TEXT('KEY INPUTS'!D34+1,"0")&amp;" Interest on Bonds (*Items)"</f>
        <v>2020 Interest on Bonds (*Items)</v>
      </c>
      <c r="C28" s="1172"/>
      <c r="D28" s="1172"/>
      <c r="E28" s="1172"/>
      <c r="F28" s="1172"/>
      <c r="G28" s="1172"/>
      <c r="H28" s="457" t="s">
        <v>482</v>
      </c>
      <c r="I28" s="1232">
        <f>+I14+I25</f>
        <v>0</v>
      </c>
      <c r="K28" s="1116"/>
      <c r="L28" s="1116"/>
      <c r="O28" s="464"/>
      <c r="P28" s="464"/>
      <c r="Q28" s="464"/>
      <c r="R28" s="464"/>
    </row>
    <row r="29" spans="2:21" ht="21" customHeight="1">
      <c r="B29" s="916" t="str">
        <f>"Less: Interest Accrued to "&amp;TEXT('KEY INPUTS'!D29,"mm/dd/yyy")&amp;" (Trial Balance)"</f>
        <v>Less: Interest Accrued to 12/31/2019 (Trial Balance)</v>
      </c>
      <c r="C29" s="691"/>
      <c r="D29" s="691"/>
      <c r="E29" s="691"/>
      <c r="F29" s="691"/>
      <c r="G29" s="691"/>
      <c r="H29" s="402" t="s">
        <v>482</v>
      </c>
      <c r="I29" s="673"/>
      <c r="K29" s="1116"/>
      <c r="L29" s="1116"/>
      <c r="O29" s="464"/>
      <c r="P29" s="464"/>
      <c r="Q29" s="464"/>
      <c r="R29" s="464"/>
    </row>
    <row r="30" spans="2:21" ht="21" customHeight="1">
      <c r="B30" s="691"/>
      <c r="C30" s="691" t="s">
        <v>421</v>
      </c>
      <c r="D30" s="691"/>
      <c r="E30" s="691"/>
      <c r="F30" s="691"/>
      <c r="G30" s="691"/>
      <c r="H30" s="402" t="s">
        <v>482</v>
      </c>
      <c r="I30" s="496">
        <f>+I28-I29</f>
        <v>0</v>
      </c>
      <c r="K30" s="1116"/>
      <c r="L30" s="1116"/>
      <c r="O30" s="464"/>
      <c r="P30" s="464"/>
      <c r="Q30" s="464"/>
      <c r="R30" s="464"/>
    </row>
    <row r="31" spans="2:21" ht="21" customHeight="1">
      <c r="B31" s="916" t="str">
        <f>"Add: Interest to be Accrued as of "&amp;TEXT('KEY INPUTS'!D30,"mm/dd/yyyy")&amp;""</f>
        <v>Add: Interest to be Accrued as of 12/31/2020</v>
      </c>
      <c r="C31" s="691"/>
      <c r="D31" s="691"/>
      <c r="E31" s="691"/>
      <c r="F31" s="691"/>
      <c r="G31" s="691"/>
      <c r="H31" s="402" t="s">
        <v>482</v>
      </c>
      <c r="I31" s="673"/>
      <c r="K31" s="1116"/>
      <c r="L31" s="1116"/>
      <c r="O31" s="464"/>
      <c r="P31" s="464"/>
      <c r="Q31" s="464"/>
      <c r="R31" s="464"/>
    </row>
    <row r="32" spans="2:21" ht="21" customHeight="1">
      <c r="B32" s="916" t="str">
        <f>"Required Appropriation "&amp;TEXT('KEY INPUTS'!D34+1,"0")</f>
        <v>Required Appropriation 2020</v>
      </c>
      <c r="C32" s="691"/>
      <c r="D32" s="691"/>
      <c r="E32" s="691"/>
      <c r="F32" s="691"/>
      <c r="G32" s="691"/>
      <c r="H32" s="691"/>
      <c r="I32" s="1416"/>
      <c r="J32" s="491" t="s">
        <v>482</v>
      </c>
      <c r="K32" s="1825">
        <f>+I30+I31</f>
        <v>0</v>
      </c>
      <c r="L32" s="1826"/>
      <c r="O32" s="464"/>
      <c r="P32" s="464"/>
      <c r="Q32" s="464"/>
      <c r="R32" s="464"/>
    </row>
    <row r="33" spans="2:12" ht="13.5" customHeight="1">
      <c r="B33" s="1194"/>
      <c r="C33" s="1194"/>
      <c r="D33" s="1194"/>
      <c r="E33" s="1194"/>
      <c r="F33" s="1194"/>
      <c r="G33" s="1194"/>
      <c r="H33" s="1194"/>
      <c r="I33" s="1194"/>
      <c r="J33" s="1194"/>
      <c r="K33" s="1429"/>
      <c r="L33" s="1300"/>
    </row>
    <row r="34" spans="2:12" ht="13.5" customHeight="1">
      <c r="B34" s="1194"/>
      <c r="C34" s="1194"/>
      <c r="D34" s="1194"/>
      <c r="E34" s="1194"/>
      <c r="F34" s="1194"/>
      <c r="G34" s="1194"/>
      <c r="H34" s="1194"/>
      <c r="I34" s="1194"/>
      <c r="J34" s="1194"/>
      <c r="K34" s="1429"/>
      <c r="L34" s="1300"/>
    </row>
    <row r="35" spans="2:12" ht="21" customHeight="1" thickBot="1">
      <c r="B35" s="1939" t="str">
        <f>"LIST  OF  BONDS  ISSUED  DURING  "&amp;TEXT('KEY INPUTS'!D34,"0")&amp;""</f>
        <v>LIST  OF  BONDS  ISSUED  DURING  2019</v>
      </c>
      <c r="C35" s="1939"/>
      <c r="D35" s="1939"/>
      <c r="E35" s="1939"/>
      <c r="F35" s="1939"/>
      <c r="G35" s="1939"/>
      <c r="H35" s="1939"/>
      <c r="I35" s="1939"/>
      <c r="J35" s="1939"/>
      <c r="K35" s="1939"/>
      <c r="L35" s="1939"/>
    </row>
    <row r="36" spans="2:12" ht="27" customHeight="1" thickTop="1" thickBot="1">
      <c r="B36" s="1763" t="s">
        <v>532</v>
      </c>
      <c r="C36" s="1763"/>
      <c r="D36" s="1763"/>
      <c r="E36" s="1763"/>
      <c r="F36" s="1763"/>
      <c r="G36" s="1399" t="str">
        <f>TEXT('KEY INPUTS'!D34,"0")&amp;" Maturity"</f>
        <v>2019 Maturity</v>
      </c>
      <c r="H36" s="1933" t="s">
        <v>109</v>
      </c>
      <c r="I36" s="1764"/>
      <c r="J36" s="1954" t="s">
        <v>107</v>
      </c>
      <c r="K36" s="1955"/>
      <c r="L36" s="1415" t="s">
        <v>108</v>
      </c>
    </row>
    <row r="37" spans="2:12" ht="21" customHeight="1" thickTop="1">
      <c r="B37" s="674"/>
      <c r="C37" s="674"/>
      <c r="D37" s="674"/>
      <c r="E37" s="674"/>
      <c r="F37" s="674"/>
      <c r="G37" s="605"/>
      <c r="H37" s="1706"/>
      <c r="I37" s="1707"/>
      <c r="J37" s="1829"/>
      <c r="K37" s="1830"/>
      <c r="L37" s="919"/>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234"/>
      <c r="C41" s="1234"/>
      <c r="D41" s="1234"/>
      <c r="E41" s="1234"/>
      <c r="F41" s="1387"/>
      <c r="G41" s="1133">
        <f>SUM(G37:G40)</f>
        <v>0</v>
      </c>
      <c r="H41" s="1821">
        <f>SUM(H37:I40)</f>
        <v>0</v>
      </c>
      <c r="I41" s="1822"/>
      <c r="J41" s="1388"/>
      <c r="K41" s="1234"/>
      <c r="L41" s="1235"/>
    </row>
    <row r="42" spans="2:12" ht="13.8" thickTop="1">
      <c r="G42" s="784"/>
      <c r="H42" s="784"/>
      <c r="I42" s="784"/>
    </row>
    <row r="50" spans="2:12" ht="13.8">
      <c r="B50" s="1766" t="s">
        <v>3446</v>
      </c>
      <c r="C50" s="1766"/>
      <c r="D50" s="1766"/>
      <c r="E50" s="1766"/>
      <c r="F50" s="1766"/>
      <c r="G50" s="1766"/>
      <c r="H50" s="1766"/>
      <c r="I50" s="1766"/>
      <c r="J50" s="1766"/>
      <c r="K50" s="1766"/>
      <c r="L50" s="1766"/>
    </row>
  </sheetData>
  <sheetProtection algorithmName="SHA-512" hashValue="bxUKn1vZ6mw9swc06BxU3lFbpJLx7JFSbFcRP8peI9vi/AiYhpFEjegf6HqmVkoP6zG4gBoT3HhsRflxbWQxtQ==" saltValue="dn78Y6b+9er0iOO47XavQg=="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1">
    <tabColor theme="3" tint="0.79998168889431442"/>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INPUTS'!D$57)&amp;"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K7" s="1148"/>
      <c r="L7" s="1148"/>
      <c r="O7" s="322"/>
      <c r="P7" s="322"/>
      <c r="Q7" s="322"/>
      <c r="R7" s="322"/>
      <c r="S7" s="322"/>
      <c r="T7" s="322"/>
      <c r="U7" s="322"/>
    </row>
    <row r="8" spans="2:21" ht="21" customHeight="1">
      <c r="B8" s="691" t="s">
        <v>113</v>
      </c>
      <c r="C8" s="1141"/>
      <c r="D8" s="1141"/>
      <c r="E8" s="1141"/>
      <c r="F8" s="1141"/>
      <c r="G8" s="975" t="s">
        <v>788</v>
      </c>
      <c r="H8" s="1680"/>
      <c r="I8" s="1681"/>
      <c r="K8" s="1148"/>
      <c r="L8" s="1148"/>
      <c r="O8" s="377"/>
      <c r="P8" s="322"/>
      <c r="Q8" s="322"/>
      <c r="R8" s="322"/>
      <c r="S8" s="322"/>
      <c r="T8" s="322"/>
      <c r="U8" s="322"/>
    </row>
    <row r="9" spans="2:21" ht="21" customHeight="1">
      <c r="B9" s="691"/>
      <c r="C9" s="1141"/>
      <c r="D9" s="1141"/>
      <c r="E9" s="1141"/>
      <c r="F9" s="1141"/>
      <c r="G9" s="975"/>
      <c r="H9" s="1391"/>
      <c r="I9" s="1392"/>
      <c r="K9" s="1148"/>
      <c r="L9" s="1148"/>
      <c r="O9" s="322"/>
      <c r="P9" s="322"/>
      <c r="Q9" s="322"/>
      <c r="R9" s="322"/>
      <c r="S9" s="322"/>
      <c r="T9" s="322"/>
      <c r="U9" s="322"/>
    </row>
    <row r="10" spans="2:21" ht="21" customHeight="1">
      <c r="B10" s="691" t="s">
        <v>326</v>
      </c>
      <c r="C10" s="1141"/>
      <c r="D10" s="1141"/>
      <c r="E10" s="1141"/>
      <c r="F10" s="1141"/>
      <c r="G10" s="601"/>
      <c r="H10" s="1686" t="s">
        <v>788</v>
      </c>
      <c r="I10" s="1687"/>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K15" s="1148"/>
      <c r="L15" s="1148"/>
      <c r="O15" s="322"/>
      <c r="P15" s="322"/>
      <c r="Q15" s="322"/>
      <c r="R15" s="322"/>
      <c r="S15" s="322"/>
      <c r="T15" s="322"/>
      <c r="U15" s="322"/>
    </row>
    <row r="16" spans="2:21" ht="26.25" customHeight="1" thickBot="1">
      <c r="B16" s="1936" t="str">
        <f>UPPER('KEY INPUTS'!D$57)&amp;"  UTILITY"&amp;" ________________ LOAN"</f>
        <v xml:space="preserve">  UTILITY ________________ LOAN</v>
      </c>
      <c r="C16" s="1936"/>
      <c r="D16" s="1936"/>
      <c r="E16" s="1936"/>
      <c r="F16" s="1936"/>
      <c r="G16" s="1936"/>
      <c r="H16" s="1936"/>
      <c r="I16" s="1937"/>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K17" s="1148"/>
      <c r="L17" s="1148"/>
      <c r="O17" s="322"/>
      <c r="P17" s="322"/>
      <c r="Q17" s="322"/>
      <c r="R17" s="322"/>
      <c r="S17" s="322"/>
      <c r="T17" s="322"/>
      <c r="U17" s="322"/>
    </row>
    <row r="18" spans="2:21" ht="21" customHeight="1">
      <c r="B18" s="691" t="s">
        <v>113</v>
      </c>
      <c r="C18" s="1141"/>
      <c r="D18" s="1141"/>
      <c r="E18" s="1141"/>
      <c r="F18" s="1141"/>
      <c r="G18" s="975" t="s">
        <v>788</v>
      </c>
      <c r="H18" s="1680"/>
      <c r="I18" s="1681"/>
      <c r="K18" s="1148"/>
      <c r="L18" s="1148"/>
      <c r="O18" s="322"/>
      <c r="P18" s="322"/>
      <c r="Q18" s="322"/>
      <c r="R18" s="322"/>
      <c r="S18" s="322"/>
      <c r="T18" s="322"/>
      <c r="U18" s="322"/>
    </row>
    <row r="19" spans="2:21" ht="21" customHeight="1">
      <c r="B19" s="691" t="s">
        <v>326</v>
      </c>
      <c r="C19" s="1141"/>
      <c r="D19" s="1141"/>
      <c r="E19" s="1141"/>
      <c r="F19" s="1141"/>
      <c r="G19" s="601"/>
      <c r="H19" s="1686" t="s">
        <v>788</v>
      </c>
      <c r="I19" s="1687"/>
      <c r="K19" s="1148"/>
      <c r="L19" s="1148"/>
      <c r="O19" s="322"/>
      <c r="P19" s="322"/>
      <c r="Q19" s="322"/>
      <c r="R19" s="322"/>
      <c r="S19" s="322"/>
      <c r="T19" s="322"/>
      <c r="U19" s="322"/>
    </row>
    <row r="20" spans="2:21" ht="21" customHeight="1">
      <c r="B20" s="691"/>
      <c r="C20" s="1141"/>
      <c r="D20" s="1141"/>
      <c r="E20" s="1141"/>
      <c r="F20" s="1141"/>
      <c r="G20" s="1107"/>
      <c r="H20" s="1708"/>
      <c r="I20" s="1709"/>
      <c r="K20" s="1148"/>
      <c r="L20" s="1148"/>
      <c r="O20" s="322"/>
      <c r="P20" s="322"/>
      <c r="Q20" s="322"/>
      <c r="R20" s="322"/>
      <c r="S20" s="322"/>
      <c r="T20" s="322"/>
      <c r="U20" s="322"/>
    </row>
    <row r="21" spans="2:21" ht="21" customHeight="1">
      <c r="B21" s="691"/>
      <c r="C21" s="1141"/>
      <c r="D21" s="1141"/>
      <c r="E21" s="1141"/>
      <c r="F21" s="1141"/>
      <c r="G21" s="1107"/>
      <c r="H21" s="1708"/>
      <c r="I21" s="1709"/>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K22" s="1148"/>
      <c r="L22" s="1148"/>
      <c r="O22" s="322"/>
      <c r="P22" s="322"/>
      <c r="Q22" s="322"/>
      <c r="R22" s="322"/>
      <c r="S22" s="322"/>
      <c r="T22" s="322"/>
      <c r="U22" s="322"/>
    </row>
    <row r="23" spans="2:21" ht="21" customHeight="1" thickBot="1">
      <c r="B23" s="1116"/>
      <c r="C23" s="1148"/>
      <c r="D23" s="1148"/>
      <c r="E23" s="1148"/>
      <c r="F23" s="1148"/>
      <c r="G23" s="1085">
        <f>SUM(G17:G22)</f>
        <v>0</v>
      </c>
      <c r="H23" s="1684">
        <f>SUM(H17:I22)</f>
        <v>0</v>
      </c>
      <c r="I23" s="1685"/>
      <c r="K23" s="1148"/>
      <c r="L23" s="1148"/>
    </row>
    <row r="24" spans="2:21" ht="21" customHeight="1" thickTop="1">
      <c r="B24" s="1384" t="str">
        <f>TEXT('KEY INPUTS'!D34+1,"0")&amp;" Loan Maturities"</f>
        <v>2020 Loan Maturities</v>
      </c>
      <c r="C24" s="1393"/>
      <c r="D24" s="1393"/>
      <c r="E24" s="1393"/>
      <c r="F24" s="1393"/>
      <c r="G24" s="1393"/>
      <c r="H24" s="1393"/>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INPUTS'!D57)&amp;"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1160" t="s">
        <v>482</v>
      </c>
      <c r="I28" s="1395">
        <f>+I25+I14</f>
        <v>0</v>
      </c>
      <c r="K28" s="1148"/>
      <c r="L28" s="1148"/>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c r="K29" s="1148"/>
      <c r="L29" s="1148"/>
    </row>
    <row r="30" spans="2:21" ht="21" customHeight="1">
      <c r="B30" s="691"/>
      <c r="C30" s="691" t="s">
        <v>421</v>
      </c>
      <c r="D30" s="1141"/>
      <c r="E30" s="1141"/>
      <c r="F30" s="1141"/>
      <c r="G30" s="1141"/>
      <c r="H30" s="334" t="s">
        <v>482</v>
      </c>
      <c r="I30" s="512">
        <f>+I28-I29</f>
        <v>0</v>
      </c>
      <c r="K30" s="1148"/>
      <c r="L30" s="1148"/>
    </row>
    <row r="31" spans="2:21" ht="21" customHeight="1">
      <c r="B31" s="916" t="str">
        <f>"Add: Interest to be Accrued as of "&amp;TEXT('KEY INPUTS'!D30,"mm/dd/yyyy")&amp;""</f>
        <v>Add: Interest to be Accrued as of 12/31/2020</v>
      </c>
      <c r="C31" s="691"/>
      <c r="D31" s="1141"/>
      <c r="E31" s="1141"/>
      <c r="F31" s="1141"/>
      <c r="G31" s="1141"/>
      <c r="H31" s="334" t="s">
        <v>482</v>
      </c>
      <c r="I31" s="600"/>
      <c r="K31" s="1148"/>
      <c r="L31" s="1148"/>
    </row>
    <row r="32" spans="2:21" ht="21" customHeight="1">
      <c r="B32" s="916" t="str">
        <f>"Required Appropriation "&amp;TEXT('KEY INPUTS'!D34+1,"0")</f>
        <v>Required Appropriation 2020</v>
      </c>
      <c r="C32" s="691"/>
      <c r="D32" s="1141"/>
      <c r="E32" s="1141"/>
      <c r="F32" s="1141"/>
      <c r="G32" s="1141"/>
      <c r="H32" s="334"/>
      <c r="I32" s="1167"/>
      <c r="J32" s="1432"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3447</v>
      </c>
      <c r="C51" s="1813"/>
      <c r="D51" s="1813"/>
      <c r="E51" s="1813"/>
      <c r="F51" s="1813"/>
      <c r="G51" s="1813"/>
      <c r="H51" s="1813"/>
      <c r="I51" s="1813"/>
      <c r="J51" s="1813"/>
      <c r="K51" s="1813"/>
      <c r="L51" s="1813"/>
    </row>
  </sheetData>
  <sheetProtection algorithmName="SHA-512" hashValue="C8z67769vo4qK9Q5kyPsGif5TLIj3xtLHrNLD2WRdg220nNEd+bCS21vHlzqSKe0fjY26xFxqo1IxWHTO8CKng==" saltValue="FCWpG67ryRkC8Rghvdi+j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2">
    <tabColor theme="3" tint="0.79998168889431442"/>
  </sheetPr>
  <dimension ref="B2:U51"/>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5" width="17.88671875" style="331" customWidth="1"/>
    <col min="6" max="6" width="9.109375" style="331"/>
    <col min="7" max="7" width="16.6640625" style="331" customWidth="1"/>
    <col min="8" max="8" width="1.6640625" style="331" customWidth="1"/>
    <col min="9" max="9" width="15.6640625" style="331" customWidth="1"/>
    <col min="10" max="10" width="1.6640625" style="331" customWidth="1"/>
    <col min="11" max="11" width="8.6640625" style="331" customWidth="1"/>
    <col min="12" max="12" width="7.6640625" style="331" customWidth="1"/>
    <col min="13" max="16384" width="9.109375" style="331"/>
  </cols>
  <sheetData>
    <row r="2" spans="2:21" ht="20.399999999999999">
      <c r="B2" s="1871" t="s">
        <v>606</v>
      </c>
      <c r="C2" s="1871"/>
      <c r="D2" s="1871"/>
      <c r="E2" s="1871"/>
      <c r="F2" s="1871"/>
      <c r="G2" s="1871"/>
      <c r="H2" s="1871"/>
      <c r="I2" s="1871"/>
      <c r="J2" s="1871"/>
      <c r="K2" s="1871"/>
      <c r="L2" s="1871"/>
    </row>
    <row r="3" spans="2:21" ht="20.399999999999999">
      <c r="B3" s="1789" t="str">
        <f>"AND  "&amp;TEXT('KEY INPUTS'!D34+1,"0")&amp;"  DEBT  SERVICE  FOR  LOANS"</f>
        <v>AND  2020  DEBT  SERVICE  FOR  LOANS</v>
      </c>
      <c r="C3" s="1789"/>
      <c r="D3" s="1789"/>
      <c r="E3" s="1789"/>
      <c r="F3" s="1789"/>
      <c r="G3" s="1789"/>
      <c r="H3" s="1789"/>
      <c r="I3" s="1789"/>
      <c r="J3" s="1789"/>
      <c r="K3" s="1789"/>
      <c r="L3" s="1789"/>
    </row>
    <row r="4" spans="2:21" ht="15.6">
      <c r="B4" s="1762" t="str">
        <f>UPPER('KEY INPUTS'!D$57)&amp;"  UTILITY"&amp;" ________________ LOAN"</f>
        <v xml:space="preserve">  UTILITY ________________ LOAN</v>
      </c>
      <c r="C4" s="1762"/>
      <c r="D4" s="1762"/>
      <c r="E4" s="1762"/>
      <c r="F4" s="1762"/>
      <c r="G4" s="1762"/>
      <c r="H4" s="1762"/>
      <c r="I4" s="1762"/>
      <c r="J4" s="1762"/>
      <c r="K4" s="1762"/>
      <c r="L4" s="1762"/>
    </row>
    <row r="5" spans="2:21" ht="9.75" customHeight="1" thickBot="1">
      <c r="B5" s="1389"/>
      <c r="C5" s="1389"/>
      <c r="D5" s="1389"/>
      <c r="E5" s="1389"/>
      <c r="F5" s="1389"/>
      <c r="G5" s="1389"/>
      <c r="H5" s="1389"/>
      <c r="I5" s="1389"/>
      <c r="J5" s="1389"/>
      <c r="K5" s="1389"/>
      <c r="L5" s="1389"/>
    </row>
    <row r="6" spans="2:21" ht="27.75" customHeight="1" thickTop="1" thickBot="1">
      <c r="B6" s="1390"/>
      <c r="C6" s="1390"/>
      <c r="D6" s="1390"/>
      <c r="E6" s="1390"/>
      <c r="F6" s="1390"/>
      <c r="G6" s="1136" t="s">
        <v>125</v>
      </c>
      <c r="H6" s="1938" t="s">
        <v>126</v>
      </c>
      <c r="I6" s="1787"/>
      <c r="J6" s="1934" t="str">
        <f>'KEY INPUTS'!D34&amp;" Debt
Service"</f>
        <v>2019 Debt
Service</v>
      </c>
      <c r="K6" s="1935"/>
      <c r="L6" s="1935"/>
      <c r="O6" s="322"/>
      <c r="P6" s="322"/>
      <c r="Q6" s="322"/>
      <c r="R6" s="322"/>
      <c r="S6" s="322"/>
      <c r="T6" s="322"/>
      <c r="U6" s="322"/>
    </row>
    <row r="7" spans="2:21" ht="21" customHeight="1" thickTop="1">
      <c r="B7" s="1213" t="str">
        <f>'KEY INPUTS'!D27</f>
        <v>Outstanding - January 1, 2019</v>
      </c>
      <c r="C7" s="1160"/>
      <c r="D7" s="1160"/>
      <c r="E7" s="1160"/>
      <c r="F7" s="1160"/>
      <c r="G7" s="1090" t="s">
        <v>788</v>
      </c>
      <c r="H7" s="1706"/>
      <c r="I7" s="1707"/>
      <c r="J7" s="1148"/>
      <c r="K7" s="1148"/>
      <c r="L7" s="1148"/>
      <c r="O7" s="322"/>
      <c r="P7" s="322"/>
      <c r="Q7" s="322"/>
      <c r="R7" s="322"/>
      <c r="S7" s="322"/>
      <c r="T7" s="322"/>
      <c r="U7" s="322"/>
    </row>
    <row r="8" spans="2:21" ht="21" customHeight="1">
      <c r="B8" s="691" t="s">
        <v>113</v>
      </c>
      <c r="C8" s="1141"/>
      <c r="D8" s="1141"/>
      <c r="E8" s="1141"/>
      <c r="F8" s="1141"/>
      <c r="G8" s="975" t="s">
        <v>788</v>
      </c>
      <c r="H8" s="1680"/>
      <c r="I8" s="1681"/>
      <c r="J8" s="1148"/>
      <c r="K8" s="1148"/>
      <c r="L8" s="1148"/>
      <c r="O8" s="377"/>
      <c r="P8" s="322"/>
      <c r="Q8" s="322"/>
      <c r="R8" s="322"/>
      <c r="S8" s="322"/>
      <c r="T8" s="322"/>
      <c r="U8" s="322"/>
    </row>
    <row r="9" spans="2:21" ht="21" customHeight="1">
      <c r="B9" s="691"/>
      <c r="C9" s="1141"/>
      <c r="D9" s="1141"/>
      <c r="E9" s="1141"/>
      <c r="F9" s="1141"/>
      <c r="G9" s="975"/>
      <c r="H9" s="1391"/>
      <c r="I9" s="1392"/>
      <c r="J9" s="1148"/>
      <c r="K9" s="1148"/>
      <c r="L9" s="1148"/>
      <c r="O9" s="322"/>
      <c r="P9" s="322"/>
      <c r="Q9" s="322"/>
      <c r="R9" s="322"/>
      <c r="S9" s="322"/>
      <c r="T9" s="322"/>
      <c r="U9" s="322"/>
    </row>
    <row r="10" spans="2:21" ht="21" customHeight="1">
      <c r="B10" s="691" t="s">
        <v>326</v>
      </c>
      <c r="C10" s="1141"/>
      <c r="D10" s="1141"/>
      <c r="E10" s="1141"/>
      <c r="F10" s="1141"/>
      <c r="G10" s="601"/>
      <c r="H10" s="1686" t="s">
        <v>788</v>
      </c>
      <c r="I10" s="1687"/>
      <c r="J10" s="1148"/>
      <c r="K10" s="1148"/>
      <c r="L10" s="1148"/>
      <c r="O10" s="322"/>
      <c r="P10" s="322"/>
      <c r="Q10" s="322"/>
      <c r="R10" s="322"/>
      <c r="S10" s="322"/>
      <c r="T10" s="322"/>
      <c r="U10" s="322"/>
    </row>
    <row r="11" spans="2:21" ht="21" customHeight="1" thickBot="1">
      <c r="B11" s="691" t="str">
        <f>'KEY INPUTS'!D28</f>
        <v>Outstanding - December 31, 2019</v>
      </c>
      <c r="C11" s="1141"/>
      <c r="D11" s="1141"/>
      <c r="E11" s="1141"/>
      <c r="F11" s="1141"/>
      <c r="G11" s="1091">
        <f>+H7+H8-G10</f>
        <v>0</v>
      </c>
      <c r="H11" s="1678" t="s">
        <v>788</v>
      </c>
      <c r="I11" s="1679"/>
      <c r="J11" s="1148"/>
      <c r="K11" s="1148"/>
      <c r="L11" s="1148"/>
      <c r="O11" s="322"/>
      <c r="P11" s="322"/>
      <c r="Q11" s="322"/>
      <c r="R11" s="322"/>
      <c r="S11" s="322"/>
      <c r="T11" s="322"/>
      <c r="U11" s="322"/>
    </row>
    <row r="12" spans="2:21" ht="21" customHeight="1" thickBot="1">
      <c r="B12" s="1116"/>
      <c r="C12" s="1148"/>
      <c r="D12" s="1148"/>
      <c r="E12" s="1148"/>
      <c r="F12" s="1148"/>
      <c r="G12" s="1085">
        <f>SUM(G7:G11)</f>
        <v>0</v>
      </c>
      <c r="H12" s="1684">
        <f>SUM(H7:I11)</f>
        <v>0</v>
      </c>
      <c r="I12" s="1685"/>
      <c r="J12" s="1148"/>
      <c r="K12" s="1148"/>
      <c r="L12" s="1148"/>
      <c r="O12" s="322"/>
      <c r="P12" s="322"/>
      <c r="Q12" s="322"/>
      <c r="R12" s="322"/>
      <c r="S12" s="322"/>
      <c r="T12" s="322"/>
      <c r="U12" s="322"/>
    </row>
    <row r="13" spans="2:21" ht="21" customHeight="1" thickTop="1">
      <c r="B13" s="1384" t="str">
        <f>TEXT('KEY INPUTS'!D34+1,"0")&amp;" Loan Maturities"</f>
        <v>2020 Loan Maturities</v>
      </c>
      <c r="C13" s="1393"/>
      <c r="D13" s="1393"/>
      <c r="E13" s="1393"/>
      <c r="F13" s="1393"/>
      <c r="G13" s="1393"/>
      <c r="H13" s="1393"/>
      <c r="I13" s="1394"/>
      <c r="J13" s="479" t="s">
        <v>482</v>
      </c>
      <c r="K13" s="1715"/>
      <c r="L13" s="1715"/>
      <c r="O13" s="322"/>
      <c r="P13" s="322"/>
      <c r="Q13" s="322"/>
      <c r="R13" s="322"/>
      <c r="S13" s="322"/>
      <c r="T13" s="322"/>
      <c r="U13" s="322"/>
    </row>
    <row r="14" spans="2:21" ht="21" customHeight="1" thickBot="1">
      <c r="B14" s="1385" t="str">
        <f>TEXT('KEY INPUTS'!D34+1,"0")&amp;" Interest on Loans"</f>
        <v>2020 Interest on Loans</v>
      </c>
      <c r="C14" s="1164"/>
      <c r="D14" s="1164"/>
      <c r="E14" s="1164"/>
      <c r="F14" s="1164"/>
      <c r="G14" s="1377"/>
      <c r="H14" s="413" t="s">
        <v>482</v>
      </c>
      <c r="I14" s="675"/>
      <c r="K14" s="1148"/>
      <c r="L14" s="1148"/>
      <c r="O14" s="322"/>
      <c r="P14" s="322"/>
      <c r="Q14" s="322"/>
      <c r="R14" s="322"/>
      <c r="S14" s="322"/>
      <c r="T14" s="322"/>
      <c r="U14" s="322"/>
    </row>
    <row r="15" spans="2:21" ht="16.5" customHeight="1" thickTop="1">
      <c r="B15" s="1957"/>
      <c r="C15" s="1957"/>
      <c r="D15" s="1957"/>
      <c r="E15" s="1957"/>
      <c r="F15" s="1957"/>
      <c r="G15" s="1957"/>
      <c r="H15" s="1957"/>
      <c r="I15" s="1958"/>
      <c r="K15" s="1148"/>
      <c r="L15" s="1148"/>
      <c r="O15" s="322"/>
      <c r="P15" s="322"/>
      <c r="Q15" s="322"/>
      <c r="R15" s="322"/>
      <c r="S15" s="322"/>
      <c r="T15" s="322"/>
      <c r="U15" s="322"/>
    </row>
    <row r="16" spans="2:21" ht="26.25" customHeight="1" thickBot="1">
      <c r="B16" s="1936" t="str">
        <f>UPPER('KEY INPUTS'!D$57)&amp;"  UTILITY"&amp;" ________________ LOAN"</f>
        <v xml:space="preserve">  UTILITY ________________ LOAN</v>
      </c>
      <c r="C16" s="1936"/>
      <c r="D16" s="1936"/>
      <c r="E16" s="1936"/>
      <c r="F16" s="1936"/>
      <c r="G16" s="1936"/>
      <c r="H16" s="1936"/>
      <c r="I16" s="1937"/>
      <c r="K16" s="1148"/>
      <c r="L16" s="1148"/>
      <c r="O16" s="322"/>
      <c r="P16" s="322"/>
      <c r="Q16" s="322"/>
      <c r="R16" s="322"/>
      <c r="S16" s="322"/>
      <c r="T16" s="322"/>
      <c r="U16" s="322"/>
    </row>
    <row r="17" spans="2:21" ht="21" customHeight="1" thickTop="1">
      <c r="B17" s="1213" t="str">
        <f>'KEY INPUTS'!D27</f>
        <v>Outstanding - January 1, 2019</v>
      </c>
      <c r="C17" s="1160"/>
      <c r="D17" s="1160"/>
      <c r="E17" s="1160"/>
      <c r="F17" s="1160"/>
      <c r="G17" s="1090" t="s">
        <v>788</v>
      </c>
      <c r="H17" s="1706"/>
      <c r="I17" s="1707"/>
      <c r="K17" s="1148"/>
      <c r="L17" s="1148"/>
      <c r="O17" s="322"/>
      <c r="P17" s="322"/>
      <c r="Q17" s="322"/>
      <c r="R17" s="322"/>
      <c r="S17" s="322"/>
      <c r="T17" s="322"/>
      <c r="U17" s="322"/>
    </row>
    <row r="18" spans="2:21" ht="21" customHeight="1">
      <c r="B18" s="691" t="s">
        <v>113</v>
      </c>
      <c r="C18" s="1141"/>
      <c r="D18" s="1141"/>
      <c r="E18" s="1141"/>
      <c r="F18" s="1141"/>
      <c r="G18" s="975" t="s">
        <v>788</v>
      </c>
      <c r="H18" s="1680"/>
      <c r="I18" s="1681"/>
      <c r="K18" s="1148"/>
      <c r="L18" s="1148"/>
      <c r="O18" s="322"/>
      <c r="P18" s="322"/>
      <c r="Q18" s="322"/>
      <c r="R18" s="322"/>
      <c r="S18" s="322"/>
      <c r="T18" s="322"/>
      <c r="U18" s="322"/>
    </row>
    <row r="19" spans="2:21" ht="21" customHeight="1">
      <c r="B19" s="691" t="s">
        <v>326</v>
      </c>
      <c r="C19" s="1141"/>
      <c r="D19" s="1141"/>
      <c r="E19" s="1141"/>
      <c r="F19" s="1141"/>
      <c r="G19" s="601"/>
      <c r="H19" s="1686" t="s">
        <v>788</v>
      </c>
      <c r="I19" s="1687"/>
      <c r="K19" s="1148"/>
      <c r="L19" s="1148"/>
      <c r="O19" s="322"/>
      <c r="P19" s="322"/>
      <c r="Q19" s="322"/>
      <c r="R19" s="322"/>
      <c r="S19" s="322"/>
      <c r="T19" s="322"/>
      <c r="U19" s="322"/>
    </row>
    <row r="20" spans="2:21" ht="21" customHeight="1">
      <c r="B20" s="691"/>
      <c r="C20" s="1141"/>
      <c r="D20" s="1141"/>
      <c r="E20" s="1141"/>
      <c r="F20" s="1141"/>
      <c r="G20" s="1107"/>
      <c r="H20" s="1708"/>
      <c r="I20" s="1709"/>
      <c r="K20" s="1148"/>
      <c r="L20" s="1148"/>
      <c r="O20" s="322"/>
      <c r="P20" s="322"/>
      <c r="Q20" s="322"/>
      <c r="R20" s="322"/>
      <c r="S20" s="322"/>
      <c r="T20" s="322"/>
      <c r="U20" s="322"/>
    </row>
    <row r="21" spans="2:21" ht="21" customHeight="1">
      <c r="B21" s="691"/>
      <c r="C21" s="1141"/>
      <c r="D21" s="1141"/>
      <c r="E21" s="1141"/>
      <c r="F21" s="1141"/>
      <c r="G21" s="1107"/>
      <c r="H21" s="1708"/>
      <c r="I21" s="1709"/>
      <c r="K21" s="1148"/>
      <c r="L21" s="1148"/>
      <c r="O21" s="322"/>
      <c r="P21" s="322"/>
      <c r="Q21" s="322"/>
      <c r="R21" s="322"/>
      <c r="S21" s="322"/>
      <c r="T21" s="322"/>
      <c r="U21" s="322"/>
    </row>
    <row r="22" spans="2:21" ht="21" customHeight="1" thickBot="1">
      <c r="B22" s="691" t="str">
        <f>'KEY INPUTS'!D28</f>
        <v>Outstanding - December 31, 2019</v>
      </c>
      <c r="C22" s="1141"/>
      <c r="D22" s="1141"/>
      <c r="E22" s="1141"/>
      <c r="F22" s="1141"/>
      <c r="G22" s="1091">
        <f>+H17+H18-G19-G20-G21+H20+H21</f>
        <v>0</v>
      </c>
      <c r="H22" s="1678" t="s">
        <v>788</v>
      </c>
      <c r="I22" s="1679"/>
      <c r="K22" s="1148"/>
      <c r="L22" s="1148"/>
      <c r="O22" s="322"/>
      <c r="P22" s="322"/>
      <c r="Q22" s="322"/>
      <c r="R22" s="322"/>
      <c r="S22" s="322"/>
      <c r="T22" s="322"/>
      <c r="U22" s="322"/>
    </row>
    <row r="23" spans="2:21" ht="21" customHeight="1" thickBot="1">
      <c r="B23" s="1116"/>
      <c r="C23" s="1148"/>
      <c r="D23" s="1148"/>
      <c r="E23" s="1148"/>
      <c r="F23" s="1148"/>
      <c r="G23" s="1085">
        <f>SUM(G17:G22)</f>
        <v>0</v>
      </c>
      <c r="H23" s="1684">
        <f>SUM(H17:I22)</f>
        <v>0</v>
      </c>
      <c r="I23" s="1685"/>
      <c r="K23" s="1148"/>
      <c r="L23" s="1148"/>
    </row>
    <row r="24" spans="2:21" ht="21" customHeight="1" thickTop="1">
      <c r="B24" s="1384" t="str">
        <f>TEXT('KEY INPUTS'!D34+1,"0")&amp;" Loan Maturities"</f>
        <v>2020 Loan Maturities</v>
      </c>
      <c r="C24" s="1393"/>
      <c r="D24" s="1393"/>
      <c r="E24" s="1393"/>
      <c r="F24" s="1393"/>
      <c r="G24" s="1393"/>
      <c r="H24" s="1393"/>
      <c r="I24" s="1394"/>
      <c r="J24" s="479" t="s">
        <v>482</v>
      </c>
      <c r="K24" s="1715"/>
      <c r="L24" s="1715"/>
    </row>
    <row r="25" spans="2:21" ht="21" customHeight="1" thickBot="1">
      <c r="B25" s="1385" t="str">
        <f>TEXT('KEY INPUTS'!D34+1,"0")&amp;" Interest on Loans"</f>
        <v>2020 Interest on Loans</v>
      </c>
      <c r="C25" s="1164"/>
      <c r="D25" s="1164"/>
      <c r="E25" s="1164"/>
      <c r="F25" s="1164"/>
      <c r="G25" s="1377"/>
      <c r="H25" s="413" t="s">
        <v>482</v>
      </c>
      <c r="I25" s="608"/>
      <c r="J25" s="505"/>
      <c r="K25" s="1164"/>
      <c r="L25" s="1164"/>
    </row>
    <row r="26" spans="2:21" ht="21" customHeight="1" thickTop="1">
      <c r="B26" s="1148"/>
      <c r="C26" s="1148"/>
      <c r="D26" s="1148"/>
      <c r="E26" s="1148"/>
      <c r="F26" s="1148"/>
      <c r="G26" s="1148"/>
      <c r="H26" s="1148"/>
      <c r="I26" s="1148"/>
      <c r="J26" s="1148"/>
      <c r="K26" s="1148"/>
      <c r="L26" s="1148"/>
    </row>
    <row r="27" spans="2:21" ht="19.5" customHeight="1" thickBot="1">
      <c r="B27" s="1936" t="str">
        <f>"INTEREST  ON  LOANS  - "&amp;UPPER('KEY INPUTS'!D57)&amp;"  UTILITY  BUDGET"</f>
        <v>INTEREST  ON  LOANS  -   UTILITY  BUDGET</v>
      </c>
      <c r="C27" s="1936"/>
      <c r="D27" s="1936"/>
      <c r="E27" s="1936"/>
      <c r="F27" s="1936"/>
      <c r="G27" s="1936"/>
      <c r="H27" s="1936"/>
      <c r="I27" s="1936"/>
      <c r="J27" s="1936"/>
      <c r="K27" s="1936"/>
      <c r="L27" s="1936"/>
    </row>
    <row r="28" spans="2:21" ht="21" customHeight="1" thickTop="1">
      <c r="B28" s="1396" t="str">
        <f>TEXT('KEY INPUTS'!D34+1,"0")&amp;" Interest on Loans (*Items)"</f>
        <v>2020 Interest on Loans (*Items)</v>
      </c>
      <c r="C28" s="1172"/>
      <c r="D28" s="1160"/>
      <c r="E28" s="1160"/>
      <c r="F28" s="1160"/>
      <c r="G28" s="1160"/>
      <c r="H28" s="415" t="s">
        <v>482</v>
      </c>
      <c r="I28" s="1395">
        <f>+I25+I14</f>
        <v>0</v>
      </c>
      <c r="K28" s="1148"/>
      <c r="L28" s="1148"/>
    </row>
    <row r="29" spans="2:21" ht="21" customHeight="1">
      <c r="B29" s="916" t="str">
        <f>"Less: Interest Accrued to "&amp;TEXT('KEY INPUTS'!D29,"mm/dd/yyy")&amp;" (Trial Balance)"</f>
        <v>Less: Interest Accrued to 12/31/2019 (Trial Balance)</v>
      </c>
      <c r="C29" s="691"/>
      <c r="D29" s="1141"/>
      <c r="E29" s="1141"/>
      <c r="F29" s="1141"/>
      <c r="G29" s="1141"/>
      <c r="H29" s="334" t="s">
        <v>482</v>
      </c>
      <c r="I29" s="600"/>
      <c r="K29" s="1148"/>
      <c r="L29" s="1148"/>
    </row>
    <row r="30" spans="2:21" ht="21" customHeight="1">
      <c r="B30" s="691"/>
      <c r="C30" s="691" t="s">
        <v>421</v>
      </c>
      <c r="D30" s="1141"/>
      <c r="E30" s="1141"/>
      <c r="F30" s="1141"/>
      <c r="G30" s="1141"/>
      <c r="H30" s="334" t="s">
        <v>482</v>
      </c>
      <c r="I30" s="1397">
        <f>+I28-I29</f>
        <v>0</v>
      </c>
      <c r="K30" s="1148"/>
      <c r="L30" s="1148"/>
    </row>
    <row r="31" spans="2:21" ht="21" customHeight="1">
      <c r="B31" s="916" t="str">
        <f>"Add: Interest to be Accrued as of "&amp;TEXT('KEY INPUTS'!D30,"mm/dd/yyyy")&amp;""</f>
        <v>Add: Interest to be Accrued as of 12/31/2020</v>
      </c>
      <c r="C31" s="691"/>
      <c r="D31" s="1141"/>
      <c r="E31" s="1141"/>
      <c r="F31" s="1141"/>
      <c r="G31" s="1141"/>
      <c r="H31" s="334" t="s">
        <v>482</v>
      </c>
      <c r="I31" s="600"/>
      <c r="K31" s="1148"/>
      <c r="L31" s="1148"/>
    </row>
    <row r="32" spans="2:21" ht="21" customHeight="1">
      <c r="B32" s="916" t="str">
        <f>"Required Appropriation "&amp;TEXT('KEY INPUTS'!D34+1,"0")</f>
        <v>Required Appropriation 2020</v>
      </c>
      <c r="C32" s="691"/>
      <c r="D32" s="1141"/>
      <c r="E32" s="1141"/>
      <c r="F32" s="1141"/>
      <c r="G32" s="1141"/>
      <c r="H32" s="1141"/>
      <c r="I32" s="1167"/>
      <c r="J32" s="506" t="s">
        <v>482</v>
      </c>
      <c r="K32" s="1940">
        <f>+I30+I31</f>
        <v>0</v>
      </c>
      <c r="L32" s="1941"/>
    </row>
    <row r="33" spans="2:12" ht="13.5" customHeight="1">
      <c r="B33" s="1264"/>
      <c r="C33" s="1264"/>
      <c r="D33" s="1264"/>
      <c r="E33" s="1264"/>
      <c r="F33" s="1264"/>
      <c r="G33" s="1264"/>
      <c r="H33" s="1264"/>
      <c r="I33" s="1264"/>
      <c r="J33" s="1264"/>
      <c r="K33" s="1431"/>
      <c r="L33" s="1272"/>
    </row>
    <row r="34" spans="2:12" ht="13.5" customHeight="1">
      <c r="B34" s="1264"/>
      <c r="C34" s="1264"/>
      <c r="D34" s="1264"/>
      <c r="E34" s="1264"/>
      <c r="F34" s="1264"/>
      <c r="G34" s="1264"/>
      <c r="H34" s="1264"/>
      <c r="I34" s="1264"/>
      <c r="J34" s="1264"/>
      <c r="K34" s="1431"/>
      <c r="L34" s="1272"/>
    </row>
    <row r="35" spans="2:12" ht="21" customHeight="1" thickBot="1">
      <c r="B35" s="1939" t="str">
        <f>"LIST  OF  LOANS  ISSUED  DURING  "&amp;TEXT('KEY INPUTS'!D34,"0")&amp;""</f>
        <v>LIST  OF  LOANS  ISSUED  DURING  2019</v>
      </c>
      <c r="C35" s="1939"/>
      <c r="D35" s="1939"/>
      <c r="E35" s="1939"/>
      <c r="F35" s="1939"/>
      <c r="G35" s="1939"/>
      <c r="H35" s="1939"/>
      <c r="I35" s="1939"/>
      <c r="J35" s="1939"/>
      <c r="K35" s="1939"/>
      <c r="L35" s="1939"/>
    </row>
    <row r="36" spans="2:12" ht="27" customHeight="1" thickTop="1" thickBot="1">
      <c r="B36" s="1786" t="s">
        <v>532</v>
      </c>
      <c r="C36" s="1786"/>
      <c r="D36" s="1786"/>
      <c r="E36" s="1786"/>
      <c r="F36" s="1786"/>
      <c r="G36" s="1399" t="str">
        <f>TEXT('KEY INPUTS'!D34,"0")&amp;" Maturity"</f>
        <v>2019 Maturity</v>
      </c>
      <c r="H36" s="1938" t="s">
        <v>109</v>
      </c>
      <c r="I36" s="1787"/>
      <c r="J36" s="1942" t="s">
        <v>107</v>
      </c>
      <c r="K36" s="1943"/>
      <c r="L36" s="1400" t="s">
        <v>108</v>
      </c>
    </row>
    <row r="37" spans="2:12" ht="21" customHeight="1" thickTop="1">
      <c r="B37" s="674"/>
      <c r="C37" s="674"/>
      <c r="D37" s="674"/>
      <c r="E37" s="674"/>
      <c r="F37" s="674"/>
      <c r="G37" s="605"/>
      <c r="H37" s="1706"/>
      <c r="I37" s="1707"/>
      <c r="J37" s="1849"/>
      <c r="K37" s="1830"/>
      <c r="L37" s="917"/>
    </row>
    <row r="38" spans="2:12" ht="21" customHeight="1">
      <c r="B38" s="648"/>
      <c r="C38" s="648"/>
      <c r="D38" s="648"/>
      <c r="E38" s="648"/>
      <c r="F38" s="648"/>
      <c r="G38" s="601"/>
      <c r="H38" s="1680"/>
      <c r="I38" s="1681"/>
      <c r="J38" s="1827"/>
      <c r="K38" s="1828"/>
      <c r="L38" s="918"/>
    </row>
    <row r="39" spans="2:12" ht="21" customHeight="1">
      <c r="B39" s="648"/>
      <c r="C39" s="648"/>
      <c r="D39" s="648"/>
      <c r="E39" s="648"/>
      <c r="F39" s="648"/>
      <c r="G39" s="601"/>
      <c r="H39" s="1680"/>
      <c r="I39" s="1681"/>
      <c r="J39" s="1827"/>
      <c r="K39" s="1828"/>
      <c r="L39" s="918"/>
    </row>
    <row r="40" spans="2:12" ht="21" customHeight="1">
      <c r="B40" s="648"/>
      <c r="C40" s="648"/>
      <c r="D40" s="648"/>
      <c r="E40" s="648"/>
      <c r="F40" s="648"/>
      <c r="G40" s="601"/>
      <c r="H40" s="1680"/>
      <c r="I40" s="1681"/>
      <c r="J40" s="1827"/>
      <c r="K40" s="1828"/>
      <c r="L40" s="918"/>
    </row>
    <row r="41" spans="2:12" ht="21" customHeight="1" thickBot="1">
      <c r="B41" s="1164"/>
      <c r="C41" s="1164"/>
      <c r="D41" s="1164"/>
      <c r="E41" s="1164"/>
      <c r="F41" s="1165"/>
      <c r="G41" s="1085">
        <f>SUM(G37:G40)</f>
        <v>0</v>
      </c>
      <c r="H41" s="1704">
        <f>SUM(H37:I40)</f>
        <v>0</v>
      </c>
      <c r="I41" s="1705"/>
      <c r="J41" s="1398"/>
      <c r="K41" s="1164"/>
      <c r="L41" s="1158"/>
    </row>
    <row r="42" spans="2:12" ht="13.8" thickTop="1">
      <c r="G42" s="504"/>
      <c r="H42" s="504"/>
      <c r="I42" s="504"/>
    </row>
    <row r="51" spans="2:12" ht="13.8">
      <c r="B51" s="1813" t="s">
        <v>3652</v>
      </c>
      <c r="C51" s="1813"/>
      <c r="D51" s="1813"/>
      <c r="E51" s="1813"/>
      <c r="F51" s="1813"/>
      <c r="G51" s="1813"/>
      <c r="H51" s="1813"/>
      <c r="I51" s="1813"/>
      <c r="J51" s="1813"/>
      <c r="K51" s="1813"/>
      <c r="L51" s="1813"/>
    </row>
  </sheetData>
  <sheetProtection algorithmName="SHA-512" hashValue="D537lt+DjvTgPuapC/oK2PWIbK0Xg7TSyu4p1QIZOcqrg4B5h9nBCHNhzYpCl7o5Tku6pbZuqS4rXmqymksh/A==" saltValue="7HTV2zwCW7TqH1YW/4oJ+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3">
    <tabColor theme="3" tint="0.79998168889431442"/>
  </sheetPr>
  <dimension ref="A1:V30"/>
  <sheetViews>
    <sheetView zoomScaleNormal="100" zoomScaleSheetLayoutView="80" workbookViewId="0">
      <selection activeCell="B1" sqref="B1"/>
    </sheetView>
  </sheetViews>
  <sheetFormatPr defaultColWidth="8.88671875" defaultRowHeight="13.2"/>
  <cols>
    <col min="1" max="1" width="5.6640625" style="398" customWidth="1"/>
    <col min="2" max="3" width="4.88671875" style="398" customWidth="1"/>
    <col min="4" max="4" width="30.44140625" style="398" customWidth="1"/>
    <col min="5" max="11" width="15.6640625" style="398" customWidth="1"/>
    <col min="12" max="12" width="1.6640625" style="398" customWidth="1"/>
    <col min="13" max="13" width="12.6640625" style="398" customWidth="1"/>
    <col min="14" max="16384" width="8.88671875" style="398"/>
  </cols>
  <sheetData>
    <row r="1" spans="1:22">
      <c r="B1" s="1116"/>
      <c r="C1" s="1116"/>
      <c r="D1" s="1116"/>
      <c r="E1" s="1116"/>
      <c r="F1" s="1116"/>
      <c r="G1" s="1116"/>
      <c r="H1" s="1116"/>
      <c r="I1" s="1116"/>
      <c r="J1" s="1116"/>
      <c r="K1" s="1116"/>
      <c r="L1" s="1116"/>
      <c r="M1" s="1116"/>
    </row>
    <row r="2" spans="1:22" ht="20.399999999999999">
      <c r="B2" s="1789" t="str">
        <f>"DEBT  SERVICE  FOR  "&amp;UPPER('KEY INPUTS'!D57)&amp;"  UTILITY  NOTES  (OTHER  THAN  UTILITY  ASSESSMENT  NOTES)"</f>
        <v>DEBT  SERVICE  FOR    UTILITY  NOTES  (OTHER  THAN  UTILITY  ASSESSMENT  NOTES)</v>
      </c>
      <c r="C2" s="1789"/>
      <c r="D2" s="1789"/>
      <c r="E2" s="1789"/>
      <c r="F2" s="1789"/>
      <c r="G2" s="1789"/>
      <c r="H2" s="1789"/>
      <c r="I2" s="1789"/>
      <c r="J2" s="1789"/>
      <c r="K2" s="1789"/>
      <c r="L2" s="1789"/>
      <c r="M2" s="1789"/>
    </row>
    <row r="3" spans="1:22" ht="21" thickBot="1">
      <c r="B3" s="1789"/>
      <c r="C3" s="1789"/>
      <c r="D3" s="1789"/>
      <c r="E3" s="1789"/>
      <c r="F3" s="1789"/>
      <c r="G3" s="1789"/>
      <c r="H3" s="1789"/>
      <c r="I3" s="1789"/>
      <c r="J3" s="1789"/>
      <c r="K3" s="1789"/>
      <c r="L3" s="1789"/>
      <c r="M3" s="1789"/>
    </row>
    <row r="4" spans="1:22" ht="13.5" customHeight="1" thickTop="1">
      <c r="B4" s="1239"/>
      <c r="C4" s="1239"/>
      <c r="D4" s="1239"/>
      <c r="E4" s="1240"/>
      <c r="F4" s="1240"/>
      <c r="G4" s="1240"/>
      <c r="H4" s="1240"/>
      <c r="I4" s="1240"/>
      <c r="J4" s="1239"/>
      <c r="K4" s="1241"/>
      <c r="L4" s="1239"/>
      <c r="M4" s="1242"/>
    </row>
    <row r="5" spans="1:22" ht="13.5" customHeight="1">
      <c r="B5" s="1116"/>
      <c r="C5" s="1116"/>
      <c r="D5" s="1116"/>
      <c r="E5" s="1243" t="s">
        <v>176</v>
      </c>
      <c r="F5" s="1244" t="s">
        <v>176</v>
      </c>
      <c r="G5" s="1244" t="s">
        <v>533</v>
      </c>
      <c r="H5" s="1244" t="s">
        <v>18</v>
      </c>
      <c r="I5" s="1244" t="s">
        <v>685</v>
      </c>
      <c r="J5" s="1867">
        <f>'KEY INPUTS'!D33</f>
        <v>2020</v>
      </c>
      <c r="K5" s="1868"/>
      <c r="L5" s="1271"/>
      <c r="M5" s="1246" t="s">
        <v>686</v>
      </c>
    </row>
    <row r="6" spans="1:22" ht="13.5" customHeight="1">
      <c r="B6" s="1116"/>
      <c r="C6" s="1865" t="s">
        <v>175</v>
      </c>
      <c r="D6" s="1866"/>
      <c r="E6" s="1243" t="s">
        <v>533</v>
      </c>
      <c r="F6" s="1244" t="s">
        <v>177</v>
      </c>
      <c r="G6" s="1244" t="s">
        <v>682</v>
      </c>
      <c r="H6" s="1244" t="s">
        <v>683</v>
      </c>
      <c r="I6" s="1244" t="s">
        <v>683</v>
      </c>
      <c r="J6" s="1869"/>
      <c r="K6" s="1870"/>
      <c r="L6" s="1247"/>
      <c r="M6" s="1246" t="s">
        <v>689</v>
      </c>
    </row>
    <row r="7" spans="1:22" ht="13.5" customHeight="1">
      <c r="B7" s="1116"/>
      <c r="C7" s="1116"/>
      <c r="D7" s="1116"/>
      <c r="E7" s="1243" t="s">
        <v>113</v>
      </c>
      <c r="F7" s="1243" t="s">
        <v>178</v>
      </c>
      <c r="G7" s="1243" t="s">
        <v>257</v>
      </c>
      <c r="H7" s="1243" t="s">
        <v>684</v>
      </c>
      <c r="I7" s="1243" t="s">
        <v>686</v>
      </c>
      <c r="J7" s="1243" t="s">
        <v>142</v>
      </c>
      <c r="K7" s="1243" t="s">
        <v>687</v>
      </c>
      <c r="L7" s="1244"/>
      <c r="M7" s="1246" t="s">
        <v>690</v>
      </c>
    </row>
    <row r="8" spans="1:22" ht="13.5" customHeight="1" thickBot="1">
      <c r="B8" s="1171"/>
      <c r="C8" s="1171"/>
      <c r="D8" s="1171"/>
      <c r="E8" s="1248"/>
      <c r="F8" s="1248"/>
      <c r="G8" s="1249" t="str">
        <f>'KEY INPUTS'!D46</f>
        <v>Dec. 31, 2019</v>
      </c>
      <c r="H8" s="1248"/>
      <c r="I8" s="1248"/>
      <c r="J8" s="1250"/>
      <c r="K8" s="1251"/>
      <c r="L8" s="1252"/>
      <c r="M8" s="1253"/>
      <c r="P8" s="322"/>
      <c r="Q8" s="322"/>
      <c r="R8" s="322"/>
      <c r="S8" s="322"/>
      <c r="T8" s="322"/>
      <c r="U8" s="322"/>
      <c r="V8" s="322"/>
    </row>
    <row r="9" spans="1:22" ht="21" customHeight="1" thickTop="1">
      <c r="B9" s="537" t="s">
        <v>384</v>
      </c>
      <c r="C9" s="676"/>
      <c r="D9" s="677"/>
      <c r="E9" s="618"/>
      <c r="F9" s="1470"/>
      <c r="G9" s="618"/>
      <c r="H9" s="679"/>
      <c r="I9" s="620"/>
      <c r="J9" s="618"/>
      <c r="K9" s="618"/>
      <c r="L9" s="629"/>
      <c r="M9" s="680"/>
      <c r="P9" s="322"/>
      <c r="Q9" s="322"/>
      <c r="R9" s="322"/>
      <c r="S9" s="322"/>
      <c r="T9" s="322"/>
      <c r="U9" s="322"/>
      <c r="V9" s="322"/>
    </row>
    <row r="10" spans="1:22" ht="21" customHeight="1">
      <c r="B10" s="536" t="s">
        <v>385</v>
      </c>
      <c r="C10" s="681"/>
      <c r="D10" s="652"/>
      <c r="E10" s="601"/>
      <c r="F10" s="1471"/>
      <c r="G10" s="601"/>
      <c r="H10" s="601"/>
      <c r="I10" s="683"/>
      <c r="J10" s="684"/>
      <c r="K10" s="601"/>
      <c r="L10" s="631"/>
      <c r="M10" s="685"/>
      <c r="N10" s="398" t="s">
        <v>3408</v>
      </c>
      <c r="O10" s="398" t="s">
        <v>3408</v>
      </c>
      <c r="P10" s="377"/>
      <c r="Q10" s="322"/>
      <c r="R10" s="322"/>
      <c r="S10" s="322"/>
      <c r="T10" s="322"/>
      <c r="U10" s="322"/>
      <c r="V10" s="322"/>
    </row>
    <row r="11" spans="1:22" ht="21" customHeight="1">
      <c r="B11" s="536" t="s">
        <v>386</v>
      </c>
      <c r="C11" s="648"/>
      <c r="D11" s="652"/>
      <c r="E11" s="601"/>
      <c r="F11" s="1472"/>
      <c r="G11" s="601"/>
      <c r="H11" s="601"/>
      <c r="I11" s="623"/>
      <c r="J11" s="601"/>
      <c r="K11" s="601"/>
      <c r="L11" s="631"/>
      <c r="M11" s="685"/>
      <c r="P11" s="322"/>
      <c r="Q11" s="322"/>
      <c r="R11" s="322"/>
      <c r="S11" s="322"/>
      <c r="T11" s="322"/>
      <c r="U11" s="322"/>
      <c r="V11" s="322"/>
    </row>
    <row r="12" spans="1:22" ht="21" customHeight="1">
      <c r="B12" s="536" t="s">
        <v>387</v>
      </c>
      <c r="C12" s="648"/>
      <c r="D12" s="652"/>
      <c r="E12" s="601"/>
      <c r="F12" s="1472"/>
      <c r="G12" s="601"/>
      <c r="H12" s="601"/>
      <c r="I12" s="623"/>
      <c r="J12" s="601"/>
      <c r="K12" s="601"/>
      <c r="L12" s="631"/>
      <c r="M12" s="685"/>
      <c r="P12" s="322"/>
      <c r="Q12" s="322"/>
      <c r="R12" s="322"/>
      <c r="S12" s="322"/>
      <c r="T12" s="322"/>
      <c r="U12" s="322"/>
      <c r="V12" s="322"/>
    </row>
    <row r="13" spans="1:22" ht="21" customHeight="1">
      <c r="B13" s="536" t="s">
        <v>388</v>
      </c>
      <c r="C13" s="648"/>
      <c r="D13" s="652"/>
      <c r="E13" s="601"/>
      <c r="F13" s="1472"/>
      <c r="G13" s="601"/>
      <c r="H13" s="601"/>
      <c r="I13" s="623"/>
      <c r="J13" s="601"/>
      <c r="K13" s="601"/>
      <c r="L13" s="631"/>
      <c r="M13" s="685"/>
      <c r="P13" s="322"/>
      <c r="Q13" s="322"/>
      <c r="R13" s="322"/>
      <c r="S13" s="322"/>
      <c r="T13" s="322"/>
      <c r="U13" s="322"/>
      <c r="V13" s="322"/>
    </row>
    <row r="14" spans="1:22" ht="21" customHeight="1">
      <c r="B14" s="536" t="s">
        <v>389</v>
      </c>
      <c r="C14" s="648"/>
      <c r="D14" s="652"/>
      <c r="E14" s="604"/>
      <c r="F14" s="1473"/>
      <c r="G14" s="604"/>
      <c r="H14" s="604"/>
      <c r="I14" s="626"/>
      <c r="J14" s="601"/>
      <c r="K14" s="601"/>
      <c r="L14" s="631"/>
      <c r="M14" s="685"/>
      <c r="P14" s="322"/>
      <c r="Q14" s="322"/>
      <c r="R14" s="322"/>
      <c r="S14" s="322"/>
      <c r="T14" s="322"/>
      <c r="U14" s="322"/>
      <c r="V14" s="322"/>
    </row>
    <row r="15" spans="1:22" ht="21" customHeight="1">
      <c r="A15" s="1864" t="s">
        <v>3448</v>
      </c>
      <c r="B15" s="536" t="s">
        <v>390</v>
      </c>
      <c r="C15" s="688"/>
      <c r="D15" s="689"/>
      <c r="E15" s="601"/>
      <c r="F15" s="1472"/>
      <c r="G15" s="601"/>
      <c r="H15" s="601"/>
      <c r="I15" s="623"/>
      <c r="J15" s="601"/>
      <c r="K15" s="601"/>
      <c r="L15" s="631"/>
      <c r="M15" s="685"/>
      <c r="P15" s="322"/>
      <c r="Q15" s="322"/>
      <c r="R15" s="322"/>
      <c r="S15" s="322"/>
      <c r="T15" s="322"/>
      <c r="U15" s="322"/>
      <c r="V15" s="322"/>
    </row>
    <row r="16" spans="1:22" ht="21" customHeight="1">
      <c r="A16" s="1864"/>
      <c r="B16" s="536" t="s">
        <v>501</v>
      </c>
      <c r="C16" s="648"/>
      <c r="D16" s="652"/>
      <c r="E16" s="601"/>
      <c r="F16" s="1472"/>
      <c r="G16" s="601"/>
      <c r="H16" s="601"/>
      <c r="I16" s="623"/>
      <c r="J16" s="601"/>
      <c r="K16" s="601"/>
      <c r="L16" s="631"/>
      <c r="M16" s="685"/>
      <c r="P16" s="322"/>
      <c r="Q16" s="322"/>
      <c r="R16" s="322"/>
      <c r="S16" s="322"/>
      <c r="T16" s="322"/>
      <c r="U16" s="322"/>
      <c r="V16" s="322"/>
    </row>
    <row r="17" spans="1:22" ht="21" customHeight="1">
      <c r="A17" s="1864"/>
      <c r="B17" s="536" t="s">
        <v>502</v>
      </c>
      <c r="C17" s="648"/>
      <c r="D17" s="652"/>
      <c r="E17" s="601"/>
      <c r="F17" s="1472"/>
      <c r="G17" s="601"/>
      <c r="H17" s="601"/>
      <c r="I17" s="623"/>
      <c r="J17" s="601"/>
      <c r="K17" s="601"/>
      <c r="L17" s="631"/>
      <c r="M17" s="685"/>
      <c r="P17" s="322"/>
      <c r="Q17" s="322"/>
      <c r="R17" s="322"/>
      <c r="S17" s="322"/>
      <c r="T17" s="322"/>
      <c r="U17" s="322"/>
      <c r="V17" s="322"/>
    </row>
    <row r="18" spans="1:22" ht="21" customHeight="1">
      <c r="A18" s="535"/>
      <c r="B18" s="697" t="s">
        <v>988</v>
      </c>
      <c r="C18" s="691"/>
      <c r="D18" s="692"/>
      <c r="E18" s="690">
        <f>SUM(E9:E17)</f>
        <v>0</v>
      </c>
      <c r="F18" s="693"/>
      <c r="G18" s="690">
        <f>SUM(G9:G17)</f>
        <v>0</v>
      </c>
      <c r="H18" s="690"/>
      <c r="I18" s="694"/>
      <c r="J18" s="690">
        <f>SUM(J9:J17)</f>
        <v>0</v>
      </c>
      <c r="K18" s="690">
        <f>SUM(K9:K17)</f>
        <v>0</v>
      </c>
      <c r="L18" s="695"/>
      <c r="M18" s="696"/>
      <c r="P18" s="322"/>
      <c r="Q18" s="322"/>
      <c r="R18" s="322"/>
      <c r="S18" s="322"/>
      <c r="T18" s="322"/>
      <c r="U18" s="322"/>
      <c r="V18" s="322"/>
    </row>
    <row r="19" spans="1:22" ht="21" customHeight="1">
      <c r="A19" s="535"/>
      <c r="B19" s="1354"/>
      <c r="C19" s="1194"/>
      <c r="D19" s="1194"/>
      <c r="E19" s="1355"/>
      <c r="F19" s="1194"/>
      <c r="G19" s="1355"/>
      <c r="H19" s="1355"/>
      <c r="I19" s="1356"/>
      <c r="J19" s="1355"/>
      <c r="K19" s="1355"/>
      <c r="L19" s="1355"/>
      <c r="M19" s="1194"/>
      <c r="P19" s="322"/>
      <c r="Q19" s="322"/>
      <c r="R19" s="322"/>
      <c r="S19" s="322"/>
      <c r="T19" s="322"/>
      <c r="U19" s="322"/>
      <c r="V19" s="322"/>
    </row>
    <row r="20" spans="1:22" ht="21" customHeight="1">
      <c r="A20" s="535"/>
      <c r="B20" s="1354"/>
      <c r="C20" s="1194"/>
      <c r="D20" s="1194"/>
      <c r="E20" s="1355"/>
      <c r="F20" s="1194"/>
      <c r="G20" s="1355"/>
      <c r="H20" s="1355"/>
      <c r="I20" s="1356"/>
      <c r="J20" s="1355"/>
      <c r="K20" s="1355"/>
      <c r="L20" s="1355"/>
      <c r="M20" s="1194"/>
      <c r="P20" s="322"/>
      <c r="Q20" s="322"/>
      <c r="R20" s="322"/>
      <c r="S20" s="322"/>
      <c r="T20" s="322"/>
      <c r="U20" s="322"/>
      <c r="V20" s="322"/>
    </row>
    <row r="21" spans="1:22" ht="13.5" customHeight="1" thickBot="1">
      <c r="B21" s="1357"/>
      <c r="C21" s="1358"/>
      <c r="D21" s="1359"/>
      <c r="E21" s="1194"/>
      <c r="F21" s="1194"/>
      <c r="G21" s="1194"/>
      <c r="H21" s="1194"/>
      <c r="I21" s="1194"/>
      <c r="J21" s="1360"/>
      <c r="K21" s="1194"/>
      <c r="L21" s="1194"/>
      <c r="M21" s="1194"/>
      <c r="P21" s="322"/>
      <c r="Q21" s="322"/>
      <c r="R21" s="322"/>
      <c r="S21" s="322"/>
      <c r="T21" s="322"/>
      <c r="U21" s="322"/>
      <c r="V21" s="322"/>
    </row>
    <row r="22" spans="1:22" ht="14.4" thickTop="1" thickBot="1">
      <c r="B22" s="1222" t="s">
        <v>44</v>
      </c>
      <c r="C22" s="1121"/>
      <c r="D22" s="1361"/>
      <c r="E22" s="1121"/>
      <c r="F22" s="1116"/>
      <c r="G22" s="1116"/>
      <c r="H22" s="1116"/>
      <c r="I22" s="1861" t="str">
        <f>"INTEREST  ON  NOTES  -  "&amp;UPPER('KEY INPUTS'!D57)&amp;" UTILITY  BUDGET"</f>
        <v>INTEREST  ON  NOTES  -   UTILITY  BUDGET</v>
      </c>
      <c r="J22" s="1862"/>
      <c r="K22" s="1862"/>
      <c r="L22" s="1862"/>
      <c r="M22" s="1863"/>
      <c r="P22" s="322"/>
      <c r="Q22" s="322"/>
      <c r="R22" s="322"/>
      <c r="S22" s="322"/>
      <c r="T22" s="322"/>
      <c r="U22" s="322"/>
      <c r="V22" s="322"/>
    </row>
    <row r="23" spans="1:22" ht="15.6" customHeight="1">
      <c r="B23" s="1362" t="s">
        <v>45</v>
      </c>
      <c r="C23" s="1362"/>
      <c r="D23" s="1222" t="s">
        <v>46</v>
      </c>
      <c r="E23" s="1121"/>
      <c r="F23" s="1116"/>
      <c r="G23" s="1116"/>
      <c r="H23" s="1116"/>
      <c r="I23" s="1363" t="str">
        <f>TEXT('KEY INPUTS'!D34+1,"0")&amp;"  Interest on Notes"</f>
        <v>2020  Interest on Notes</v>
      </c>
      <c r="J23" s="1193"/>
      <c r="K23" s="1193"/>
      <c r="L23" s="526" t="s">
        <v>482</v>
      </c>
      <c r="M23" s="1236">
        <f>K18</f>
        <v>0</v>
      </c>
      <c r="P23" s="322"/>
      <c r="Q23" s="322"/>
      <c r="R23" s="322"/>
      <c r="S23" s="322"/>
      <c r="T23" s="322"/>
      <c r="U23" s="322"/>
      <c r="V23" s="322"/>
    </row>
    <row r="24" spans="1:22" ht="15.6" customHeight="1">
      <c r="B24" s="1222"/>
      <c r="C24" s="1222"/>
      <c r="D24" s="1362" t="s">
        <v>47</v>
      </c>
      <c r="E24" s="1121"/>
      <c r="F24" s="1116"/>
      <c r="G24" s="1116"/>
      <c r="H24" s="1116"/>
      <c r="I24" s="1417" t="str">
        <f>"Less: Interest Accrued to "&amp;TEXT('KEY INPUTS'!D29,"mm/dd/yyyy")&amp;" (Trial Balance)"</f>
        <v>Less: Interest Accrued to 12/31/2019 (Trial Balance)</v>
      </c>
      <c r="J24" s="691"/>
      <c r="K24" s="691"/>
      <c r="L24" s="524" t="s">
        <v>482</v>
      </c>
      <c r="M24" s="673"/>
      <c r="P24" s="322"/>
      <c r="Q24" s="322"/>
      <c r="R24" s="322"/>
      <c r="S24" s="322"/>
      <c r="T24" s="322"/>
      <c r="U24" s="322"/>
      <c r="V24" s="322"/>
    </row>
    <row r="25" spans="1:22" ht="15.6" customHeight="1">
      <c r="B25" s="1222"/>
      <c r="C25" s="1222"/>
      <c r="D25" s="1222" t="s">
        <v>48</v>
      </c>
      <c r="E25" s="1121"/>
      <c r="F25" s="1116"/>
      <c r="G25" s="1116"/>
      <c r="H25" s="1116"/>
      <c r="I25" s="1123"/>
      <c r="J25" s="691" t="s">
        <v>421</v>
      </c>
      <c r="K25" s="691"/>
      <c r="L25" s="524" t="s">
        <v>482</v>
      </c>
      <c r="M25" s="1237">
        <f>+M23-M24</f>
        <v>0</v>
      </c>
    </row>
    <row r="26" spans="1:22" ht="15.6" customHeight="1">
      <c r="B26" s="1222"/>
      <c r="C26" s="1222"/>
      <c r="D26" s="1222" t="str">
        <f>"All notes with an original date of issue of 2016"&amp;" or prior require one legally payable installment to be budgeted if it"</f>
        <v>All notes with an original date of issue of 2016 or prior require one legally payable installment to be budgeted if it</v>
      </c>
      <c r="E26" s="1121"/>
      <c r="F26" s="1116"/>
      <c r="G26" s="1116"/>
      <c r="H26" s="1116"/>
      <c r="I26" s="1417" t="str">
        <f>"Add: Interest to be Accrued as of "&amp;TEXT('KEY INPUTS'!D29,"mm/dd/yyyy")&amp;""</f>
        <v>Add: Interest to be Accrued as of 12/31/2019</v>
      </c>
      <c r="J26" s="691"/>
      <c r="K26" s="691"/>
      <c r="L26" s="524" t="s">
        <v>482</v>
      </c>
      <c r="M26" s="673"/>
    </row>
    <row r="27" spans="1:22" ht="15.6" customHeight="1" thickBot="1">
      <c r="B27" s="1222"/>
      <c r="C27" s="1222"/>
      <c r="D27" s="1222" t="str">
        <f>"is contemplated that such notes will be renewed in "&amp;TEXT('KEY INPUTS'!D34+1,"0")&amp;" or written intent of permanent financing submitted."</f>
        <v>is contemplated that such notes will be renewed in 2020 or written intent of permanent financing submitted.</v>
      </c>
      <c r="E27" s="1121"/>
      <c r="F27" s="1116"/>
      <c r="G27" s="1116"/>
      <c r="H27" s="1116"/>
      <c r="I27" s="1418" t="str">
        <f>"Required Appropriation - "&amp;TEXT('KEY INPUTS'!D34+1,"0")&amp;""</f>
        <v>Required Appropriation - 2020</v>
      </c>
      <c r="J27" s="1171"/>
      <c r="K27" s="1171"/>
      <c r="L27" s="522" t="s">
        <v>482</v>
      </c>
      <c r="M27" s="1238">
        <f>+M25+M26</f>
        <v>0</v>
      </c>
    </row>
    <row r="28" spans="1:22" ht="13.8" thickTop="1">
      <c r="B28" s="1222"/>
      <c r="C28" s="1222"/>
      <c r="D28" s="1222" t="s">
        <v>49</v>
      </c>
      <c r="E28" s="1121"/>
      <c r="F28" s="1116"/>
      <c r="G28" s="1116"/>
      <c r="H28" s="1116"/>
      <c r="I28" s="1116"/>
      <c r="J28" s="1116"/>
      <c r="K28" s="1116"/>
      <c r="L28" s="1116"/>
      <c r="M28" s="1116"/>
    </row>
    <row r="29" spans="1:22">
      <c r="B29" s="1121"/>
      <c r="C29" s="1121"/>
      <c r="D29" s="1362" t="s">
        <v>50</v>
      </c>
      <c r="E29" s="1121"/>
      <c r="F29" s="1116"/>
      <c r="G29" s="1116"/>
      <c r="H29" s="1116"/>
      <c r="I29" s="1116"/>
      <c r="J29" s="1116"/>
      <c r="K29" s="1116"/>
      <c r="L29" s="1116"/>
      <c r="M29" s="1116"/>
    </row>
    <row r="30" spans="1:22">
      <c r="B30" s="1116"/>
      <c r="C30" s="1116"/>
      <c r="D30" s="1116"/>
      <c r="E30" s="1116"/>
      <c r="F30" s="1116"/>
      <c r="G30" s="1116"/>
      <c r="H30" s="1116"/>
      <c r="I30" s="1116"/>
      <c r="J30" s="1360" t="s">
        <v>127</v>
      </c>
      <c r="K30" s="1116"/>
      <c r="L30" s="1116"/>
      <c r="M30" s="1116"/>
    </row>
  </sheetData>
  <sheetProtection algorithmName="SHA-512" hashValue="Twn8oSqF49z7XkwuQ/m9YNNRy6AktrgTPTM1eJVDGRXaIei74cJ+Otm5j/haPL5upWex0K6tZ2r9oRmaRp7SKw==" saltValue="sMjYDJhu6XzZ+SOvt/qZG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4">
    <tabColor theme="3" tint="0.79998168889431442"/>
  </sheetPr>
  <dimension ref="A2:T29"/>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1.5546875" style="331" customWidth="1"/>
    <col min="5" max="12" width="15.6640625" style="331" customWidth="1"/>
    <col min="13" max="16384" width="9.109375" style="331"/>
  </cols>
  <sheetData>
    <row r="2" spans="1:20" ht="20.399999999999999">
      <c r="B2" s="1850" t="str">
        <f>"DEBT  SERVICE  SCHEDULE  FOR  "&amp;UPPER('KEY INPUTS'!D57) &amp;"  UTILITY  ASSESSMENT  NOTES"</f>
        <v>DEBT  SERVICE  SCHEDULE  FOR    UTILITY  ASSESSMENT  NOTES</v>
      </c>
      <c r="C2" s="1850"/>
      <c r="D2" s="1850"/>
      <c r="E2" s="1850"/>
      <c r="F2" s="1850"/>
      <c r="G2" s="1850"/>
      <c r="H2" s="1850"/>
      <c r="I2" s="1850"/>
      <c r="J2" s="1850"/>
      <c r="K2" s="1850"/>
      <c r="L2" s="1850"/>
    </row>
    <row r="3" spans="1:20" ht="21" thickBot="1">
      <c r="B3" s="1817"/>
      <c r="C3" s="1817"/>
      <c r="D3" s="1817"/>
      <c r="E3" s="1817"/>
      <c r="F3" s="1817"/>
      <c r="G3" s="1817"/>
      <c r="H3" s="1817"/>
      <c r="I3" s="1817"/>
      <c r="J3" s="1817"/>
      <c r="K3" s="1817"/>
      <c r="L3" s="1817"/>
    </row>
    <row r="4" spans="1:20" ht="13.5" customHeight="1" thickTop="1">
      <c r="B4" s="1959"/>
      <c r="C4" s="1959"/>
      <c r="D4" s="1960"/>
      <c r="E4" s="826"/>
      <c r="F4" s="426"/>
      <c r="G4" s="426"/>
      <c r="H4" s="426"/>
      <c r="I4" s="426"/>
      <c r="J4" s="425"/>
      <c r="K4" s="425"/>
      <c r="L4" s="424"/>
    </row>
    <row r="5" spans="1:20" ht="13.5" customHeight="1">
      <c r="E5" s="422" t="s">
        <v>176</v>
      </c>
      <c r="F5" s="421" t="s">
        <v>176</v>
      </c>
      <c r="G5" s="421" t="s">
        <v>533</v>
      </c>
      <c r="H5" s="421" t="s">
        <v>18</v>
      </c>
      <c r="I5" s="421" t="s">
        <v>685</v>
      </c>
      <c r="J5" s="1961">
        <f>'KEY INPUTS'!D33</f>
        <v>2020</v>
      </c>
      <c r="K5" s="1962"/>
      <c r="L5" s="423" t="s">
        <v>686</v>
      </c>
    </row>
    <row r="6" spans="1:20" ht="13.5" customHeight="1">
      <c r="C6" s="1965" t="s">
        <v>175</v>
      </c>
      <c r="D6" s="1966"/>
      <c r="E6" s="422" t="s">
        <v>533</v>
      </c>
      <c r="F6" s="421" t="s">
        <v>177</v>
      </c>
      <c r="G6" s="421" t="s">
        <v>682</v>
      </c>
      <c r="H6" s="421" t="s">
        <v>683</v>
      </c>
      <c r="I6" s="421" t="s">
        <v>683</v>
      </c>
      <c r="J6" s="1963"/>
      <c r="K6" s="1964"/>
      <c r="L6" s="423" t="s">
        <v>689</v>
      </c>
    </row>
    <row r="7" spans="1:20" ht="13.5" customHeight="1">
      <c r="E7" s="422" t="s">
        <v>113</v>
      </c>
      <c r="F7" s="422" t="s">
        <v>178</v>
      </c>
      <c r="G7" s="422" t="s">
        <v>257</v>
      </c>
      <c r="H7" s="422" t="s">
        <v>684</v>
      </c>
      <c r="I7" s="422" t="s">
        <v>686</v>
      </c>
      <c r="J7" s="422" t="s">
        <v>142</v>
      </c>
      <c r="K7" s="422" t="s">
        <v>687</v>
      </c>
      <c r="L7" s="423" t="s">
        <v>690</v>
      </c>
      <c r="N7" s="322"/>
      <c r="O7" s="322"/>
      <c r="P7" s="322"/>
      <c r="Q7" s="322"/>
      <c r="R7" s="322"/>
      <c r="S7" s="322"/>
      <c r="T7" s="322"/>
    </row>
    <row r="8" spans="1:20" ht="13.5" customHeight="1" thickBot="1">
      <c r="B8" s="420"/>
      <c r="C8" s="420"/>
      <c r="D8" s="420"/>
      <c r="E8" s="418"/>
      <c r="F8" s="418"/>
      <c r="G8" s="798" t="str">
        <f>'KEY INPUTS'!D46</f>
        <v>Dec. 31, 2019</v>
      </c>
      <c r="H8" s="418"/>
      <c r="I8" s="418"/>
      <c r="J8" s="419"/>
      <c r="K8" s="546" t="s">
        <v>688</v>
      </c>
      <c r="L8" s="416"/>
      <c r="N8" s="322"/>
      <c r="O8" s="322"/>
      <c r="P8" s="322"/>
      <c r="Q8" s="322"/>
      <c r="R8" s="322"/>
      <c r="S8" s="322"/>
      <c r="T8" s="322"/>
    </row>
    <row r="9" spans="1:20" ht="21" customHeight="1" thickTop="1">
      <c r="B9" s="1875"/>
      <c r="C9" s="1875"/>
      <c r="D9" s="1876"/>
      <c r="E9" s="605"/>
      <c r="F9" s="799"/>
      <c r="G9" s="605"/>
      <c r="H9" s="605"/>
      <c r="I9" s="800"/>
      <c r="J9" s="605"/>
      <c r="K9" s="605"/>
      <c r="L9" s="801"/>
      <c r="N9" s="377"/>
      <c r="O9" s="322"/>
      <c r="P9" s="322"/>
      <c r="Q9" s="322"/>
      <c r="R9" s="322"/>
      <c r="S9" s="322"/>
      <c r="T9" s="322"/>
    </row>
    <row r="10" spans="1:20" ht="21" customHeight="1">
      <c r="B10" s="1877"/>
      <c r="C10" s="1877"/>
      <c r="D10" s="1878"/>
      <c r="E10" s="601"/>
      <c r="F10" s="686"/>
      <c r="G10" s="601"/>
      <c r="H10" s="601"/>
      <c r="I10" s="623"/>
      <c r="J10" s="601"/>
      <c r="K10" s="601"/>
      <c r="L10" s="700"/>
      <c r="N10" s="322"/>
      <c r="O10" s="322"/>
      <c r="P10" s="322"/>
      <c r="Q10" s="322"/>
      <c r="R10" s="322"/>
      <c r="S10" s="322"/>
      <c r="T10" s="322"/>
    </row>
    <row r="11" spans="1:20" ht="21" customHeight="1">
      <c r="B11" s="1877"/>
      <c r="C11" s="1877"/>
      <c r="D11" s="1878"/>
      <c r="E11" s="601"/>
      <c r="F11" s="686"/>
      <c r="G11" s="601"/>
      <c r="H11" s="601"/>
      <c r="I11" s="623"/>
      <c r="J11" s="601"/>
      <c r="K11" s="601"/>
      <c r="L11" s="700"/>
      <c r="N11" s="322"/>
      <c r="O11" s="322"/>
      <c r="P11" s="322"/>
      <c r="Q11" s="322"/>
      <c r="R11" s="322"/>
      <c r="S11" s="322"/>
      <c r="T11" s="322"/>
    </row>
    <row r="12" spans="1:20" ht="21" customHeight="1">
      <c r="B12" s="1877"/>
      <c r="C12" s="1877"/>
      <c r="D12" s="1878"/>
      <c r="E12" s="601"/>
      <c r="F12" s="686"/>
      <c r="G12" s="601"/>
      <c r="H12" s="601"/>
      <c r="I12" s="623"/>
      <c r="J12" s="601"/>
      <c r="K12" s="601"/>
      <c r="L12" s="700"/>
      <c r="N12" s="322"/>
      <c r="O12" s="322"/>
      <c r="P12" s="322"/>
      <c r="Q12" s="322"/>
      <c r="R12" s="322"/>
      <c r="S12" s="322"/>
      <c r="T12" s="322"/>
    </row>
    <row r="13" spans="1:20" ht="21" customHeight="1">
      <c r="B13" s="1877"/>
      <c r="C13" s="1877"/>
      <c r="D13" s="1878"/>
      <c r="E13" s="601"/>
      <c r="F13" s="686"/>
      <c r="G13" s="601"/>
      <c r="H13" s="601"/>
      <c r="I13" s="623"/>
      <c r="J13" s="601"/>
      <c r="K13" s="601"/>
      <c r="L13" s="700"/>
      <c r="N13" s="322"/>
      <c r="O13" s="322"/>
      <c r="P13" s="322"/>
      <c r="Q13" s="322"/>
      <c r="R13" s="322"/>
      <c r="S13" s="322"/>
      <c r="T13" s="322"/>
    </row>
    <row r="14" spans="1:20" ht="21" customHeight="1">
      <c r="B14" s="1877"/>
      <c r="C14" s="1877"/>
      <c r="D14" s="1878"/>
      <c r="E14" s="604"/>
      <c r="F14" s="687"/>
      <c r="G14" s="604"/>
      <c r="H14" s="604"/>
      <c r="I14" s="626"/>
      <c r="J14" s="601"/>
      <c r="K14" s="601"/>
      <c r="L14" s="700"/>
      <c r="N14" s="322"/>
      <c r="O14" s="322"/>
      <c r="P14" s="322"/>
      <c r="Q14" s="322"/>
      <c r="R14" s="322"/>
      <c r="S14" s="322"/>
      <c r="T14" s="322"/>
    </row>
    <row r="15" spans="1:20" ht="21" customHeight="1">
      <c r="A15" s="1793" t="s">
        <v>3449</v>
      </c>
      <c r="B15" s="1877"/>
      <c r="C15" s="1877"/>
      <c r="D15" s="1878"/>
      <c r="E15" s="601"/>
      <c r="F15" s="686"/>
      <c r="G15" s="601"/>
      <c r="H15" s="601"/>
      <c r="I15" s="623"/>
      <c r="J15" s="601"/>
      <c r="K15" s="601"/>
      <c r="L15" s="700"/>
      <c r="N15" s="322"/>
      <c r="O15" s="322"/>
      <c r="P15" s="322"/>
      <c r="Q15" s="322"/>
      <c r="R15" s="322"/>
      <c r="S15" s="322"/>
      <c r="T15" s="322"/>
    </row>
    <row r="16" spans="1:20" ht="21" customHeight="1">
      <c r="A16" s="1793"/>
      <c r="B16" s="1877"/>
      <c r="C16" s="1877"/>
      <c r="D16" s="1878"/>
      <c r="E16" s="601"/>
      <c r="F16" s="686"/>
      <c r="G16" s="601"/>
      <c r="H16" s="601"/>
      <c r="I16" s="623"/>
      <c r="J16" s="601"/>
      <c r="K16" s="601"/>
      <c r="L16" s="700"/>
      <c r="N16" s="322"/>
      <c r="O16" s="322"/>
      <c r="P16" s="322"/>
      <c r="Q16" s="322"/>
      <c r="R16" s="322"/>
      <c r="S16" s="322"/>
      <c r="T16" s="322"/>
    </row>
    <row r="17" spans="1:20" ht="21" customHeight="1">
      <c r="A17" s="1793"/>
      <c r="B17" s="1877"/>
      <c r="C17" s="1877"/>
      <c r="D17" s="1878"/>
      <c r="E17" s="601"/>
      <c r="F17" s="686"/>
      <c r="G17" s="601"/>
      <c r="H17" s="601"/>
      <c r="I17" s="623"/>
      <c r="J17" s="601"/>
      <c r="K17" s="601"/>
      <c r="L17" s="700"/>
      <c r="N17" s="322"/>
      <c r="O17" s="322"/>
      <c r="P17" s="322"/>
      <c r="Q17" s="322"/>
      <c r="R17" s="322"/>
      <c r="S17" s="322"/>
      <c r="T17" s="322"/>
    </row>
    <row r="18" spans="1:20" ht="21" customHeight="1">
      <c r="A18" s="545"/>
      <c r="B18" s="1877"/>
      <c r="C18" s="1877"/>
      <c r="D18" s="1878"/>
      <c r="E18" s="601"/>
      <c r="F18" s="686"/>
      <c r="G18" s="601"/>
      <c r="H18" s="601"/>
      <c r="I18" s="623"/>
      <c r="J18" s="601"/>
      <c r="K18" s="601"/>
      <c r="L18" s="700"/>
      <c r="N18" s="322"/>
      <c r="O18" s="322"/>
      <c r="P18" s="322"/>
      <c r="Q18" s="322"/>
      <c r="R18" s="322"/>
      <c r="S18" s="322"/>
      <c r="T18" s="322"/>
    </row>
    <row r="19" spans="1:20" ht="21" customHeight="1">
      <c r="B19" s="1877"/>
      <c r="C19" s="1877"/>
      <c r="D19" s="1878"/>
      <c r="E19" s="601"/>
      <c r="F19" s="686"/>
      <c r="G19" s="601"/>
      <c r="H19" s="601"/>
      <c r="I19" s="623"/>
      <c r="J19" s="601"/>
      <c r="K19" s="601"/>
      <c r="L19" s="700"/>
      <c r="N19" s="322"/>
      <c r="O19" s="322"/>
      <c r="P19" s="322"/>
      <c r="Q19" s="322"/>
      <c r="R19" s="322"/>
      <c r="S19" s="322"/>
      <c r="T19" s="322"/>
    </row>
    <row r="20" spans="1:20" ht="21" customHeight="1">
      <c r="B20" s="1877"/>
      <c r="C20" s="1877"/>
      <c r="D20" s="1878"/>
      <c r="E20" s="601"/>
      <c r="F20" s="686"/>
      <c r="G20" s="601"/>
      <c r="H20" s="601"/>
      <c r="I20" s="623"/>
      <c r="J20" s="601"/>
      <c r="K20" s="601"/>
      <c r="L20" s="700"/>
      <c r="N20" s="322"/>
      <c r="O20" s="322"/>
      <c r="P20" s="322"/>
      <c r="Q20" s="322"/>
      <c r="R20" s="322"/>
      <c r="S20" s="322"/>
      <c r="T20" s="322"/>
    </row>
    <row r="21" spans="1:20" ht="21" customHeight="1">
      <c r="B21" s="1877"/>
      <c r="C21" s="1877"/>
      <c r="D21" s="1878"/>
      <c r="E21" s="601"/>
      <c r="F21" s="686"/>
      <c r="G21" s="601"/>
      <c r="H21" s="601"/>
      <c r="I21" s="623"/>
      <c r="J21" s="601"/>
      <c r="K21" s="601"/>
      <c r="L21" s="700"/>
      <c r="N21" s="322"/>
      <c r="O21" s="322"/>
      <c r="P21" s="322"/>
      <c r="Q21" s="322"/>
      <c r="R21" s="322"/>
      <c r="S21" s="322"/>
      <c r="T21" s="322"/>
    </row>
    <row r="22" spans="1:20" ht="21" customHeight="1">
      <c r="B22" s="1877"/>
      <c r="C22" s="1877"/>
      <c r="D22" s="1878"/>
      <c r="E22" s="601"/>
      <c r="F22" s="686"/>
      <c r="G22" s="601"/>
      <c r="H22" s="601"/>
      <c r="I22" s="623"/>
      <c r="J22" s="601"/>
      <c r="K22" s="601"/>
      <c r="L22" s="700"/>
      <c r="N22" s="322"/>
      <c r="O22" s="322"/>
      <c r="P22" s="322"/>
      <c r="Q22" s="322"/>
      <c r="R22" s="322"/>
      <c r="S22" s="322"/>
      <c r="T22" s="322"/>
    </row>
    <row r="23" spans="1:20" ht="21" customHeight="1" thickBot="1">
      <c r="B23" s="1374"/>
      <c r="C23" s="1234"/>
      <c r="D23" s="1259"/>
      <c r="E23" s="1133">
        <f>SUM(E9:E22)</f>
        <v>0</v>
      </c>
      <c r="F23" s="1248"/>
      <c r="G23" s="1133">
        <f>SUM(G9:G22)</f>
        <v>0</v>
      </c>
      <c r="H23" s="1133"/>
      <c r="I23" s="1133"/>
      <c r="J23" s="1133">
        <f>SUM(J9:J22)</f>
        <v>0</v>
      </c>
      <c r="K23" s="1133">
        <f>SUM(K9:K22)</f>
        <v>0</v>
      </c>
      <c r="L23" s="1260"/>
      <c r="N23" s="322"/>
      <c r="O23" s="322"/>
      <c r="P23" s="322"/>
      <c r="Q23" s="322"/>
      <c r="R23" s="322"/>
      <c r="S23" s="322"/>
      <c r="T23" s="322"/>
    </row>
    <row r="24" spans="1:20" ht="13.5" customHeight="1" thickTop="1">
      <c r="B24" s="1437" t="s">
        <v>44</v>
      </c>
      <c r="C24" s="1361"/>
      <c r="D24" s="1438"/>
      <c r="E24" s="1116"/>
      <c r="F24" s="1116"/>
      <c r="G24" s="1116"/>
      <c r="H24" s="1116"/>
      <c r="I24" s="1116"/>
      <c r="J24" s="1308"/>
      <c r="K24" s="1308"/>
      <c r="L24" s="1116"/>
    </row>
    <row r="25" spans="1:20" ht="13.5" customHeight="1">
      <c r="B25" s="1437" t="s">
        <v>694</v>
      </c>
      <c r="C25" s="1361"/>
      <c r="D25" s="1438"/>
      <c r="E25" s="1116"/>
      <c r="F25" s="1116"/>
      <c r="G25" s="1116"/>
      <c r="H25" s="1116"/>
      <c r="I25" s="1116"/>
      <c r="J25" s="1116"/>
      <c r="K25" s="1116"/>
      <c r="L25" s="1116"/>
    </row>
    <row r="26" spans="1:20" ht="13.5" customHeight="1">
      <c r="B26" s="1437"/>
      <c r="C26" s="1361" t="str">
        <f>"Utility Assessment Notes with an original date of issue of December 31, 2016 "&amp;" or prior must be appropriated in full in the "&amp;TEXT('KEY INPUTS'!D34+1,"0")&amp;" Dedicated Utility Assessment Budget or written intent of"</f>
        <v>Utility Assessment Notes with an original date of issue of December 31, 2016  or prior must be appropriated in full in the 2020 Dedicated Utility Assessment Budget or written intent of</v>
      </c>
      <c r="D26" s="1438"/>
      <c r="E26" s="1116"/>
      <c r="F26" s="1116"/>
      <c r="G26" s="1116"/>
      <c r="H26" s="1116"/>
      <c r="I26" s="1116"/>
      <c r="J26" s="1116"/>
      <c r="K26" s="1116"/>
      <c r="L26" s="1116"/>
    </row>
    <row r="27" spans="1:20" ht="13.5" customHeight="1">
      <c r="B27" s="1437"/>
      <c r="C27" s="1361"/>
      <c r="D27" s="1439" t="s">
        <v>644</v>
      </c>
      <c r="E27" s="1116"/>
      <c r="F27" s="1116"/>
      <c r="G27" s="1116"/>
      <c r="H27" s="1116"/>
      <c r="I27" s="1116"/>
      <c r="J27" s="1116"/>
      <c r="K27" s="1116"/>
      <c r="L27" s="1116"/>
    </row>
    <row r="28" spans="1:20" ht="13.5" customHeight="1">
      <c r="B28" s="1437"/>
      <c r="C28" s="1361" t="s">
        <v>394</v>
      </c>
      <c r="D28" s="1438"/>
      <c r="E28" s="1116"/>
      <c r="F28" s="1116"/>
      <c r="G28" s="1116"/>
      <c r="H28" s="1116"/>
      <c r="I28" s="1116"/>
      <c r="J28" s="1121"/>
      <c r="K28" s="1116"/>
      <c r="L28" s="1116"/>
    </row>
    <row r="29" spans="1:20">
      <c r="B29" s="541"/>
      <c r="C29" s="411"/>
      <c r="D29" s="411"/>
    </row>
  </sheetData>
  <sheetProtection algorithmName="SHA-512" hashValue="/CyhAhM4NZQ99UbULc8mYsF3d+/musm1nNTA9/kdlxVHY+owb4ruG5Bc+lifUvTCfWX/l9EtzkhKjuHQlDxwxQ==" saltValue="wia2QFyaUjGVZNHGprohBg=="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5">
    <tabColor theme="3" tint="0.79998168889431442"/>
  </sheetPr>
  <dimension ref="A2:R27"/>
  <sheetViews>
    <sheetView zoomScaleNormal="100" zoomScaleSheetLayoutView="80" workbookViewId="0">
      <selection activeCell="B1" sqref="B1"/>
    </sheetView>
  </sheetViews>
  <sheetFormatPr defaultColWidth="9.109375" defaultRowHeight="13.2"/>
  <cols>
    <col min="1" max="1" width="5.6640625" style="331" customWidth="1"/>
    <col min="2" max="3" width="4.88671875" style="331" customWidth="1"/>
    <col min="4" max="4" width="35.88671875" style="331" customWidth="1"/>
    <col min="5" max="6" width="15.6640625" style="331" customWidth="1"/>
    <col min="7" max="9" width="30.6640625" style="331" customWidth="1"/>
    <col min="10" max="16384" width="9.109375" style="331"/>
  </cols>
  <sheetData>
    <row r="2" spans="1:18" ht="20.399999999999999">
      <c r="B2" s="1789" t="str">
        <f>"SCHEDULE  OF  CAPITAL  LEASE  PROGRAM  OBLIGATIONS "&amp;UPPER('KEY INPUTS'!D57)&amp;"  UTILITY"</f>
        <v>SCHEDULE  OF  CAPITAL  LEASE  PROGRAM  OBLIGATIONS   UTILITY</v>
      </c>
      <c r="C2" s="1789"/>
      <c r="D2" s="1789"/>
      <c r="E2" s="1789"/>
      <c r="F2" s="1789"/>
      <c r="G2" s="1789"/>
      <c r="H2" s="1789"/>
      <c r="I2" s="1789"/>
    </row>
    <row r="3" spans="1:18" ht="21" thickBot="1">
      <c r="B3" s="1871"/>
      <c r="C3" s="1871"/>
      <c r="D3" s="1871"/>
      <c r="E3" s="1871"/>
      <c r="F3" s="1871"/>
      <c r="G3" s="1871"/>
      <c r="H3" s="1871"/>
      <c r="I3" s="1871"/>
    </row>
    <row r="4" spans="1:18" ht="13.5" customHeight="1" thickTop="1">
      <c r="B4" s="1944"/>
      <c r="C4" s="1944"/>
      <c r="D4" s="1944"/>
      <c r="E4" s="1944"/>
      <c r="F4" s="1945"/>
      <c r="G4" s="1365"/>
      <c r="H4" s="1144"/>
      <c r="I4" s="1269"/>
    </row>
    <row r="5" spans="1:18" ht="13.5" customHeight="1">
      <c r="B5" s="1148"/>
      <c r="C5" s="1148"/>
      <c r="D5" s="1148"/>
      <c r="E5" s="1143"/>
      <c r="F5" s="1143"/>
      <c r="G5" s="1153" t="s">
        <v>533</v>
      </c>
      <c r="H5" s="1946" t="str">
        <f>'KEY INPUTS'!D34+1&amp;" Budget Requirements"</f>
        <v>2020 Budget Requirements</v>
      </c>
      <c r="I5" s="1947"/>
      <c r="J5" s="776"/>
    </row>
    <row r="6" spans="1:18" ht="13.5" customHeight="1">
      <c r="B6" s="1148"/>
      <c r="C6" s="1788" t="s">
        <v>532</v>
      </c>
      <c r="D6" s="1788"/>
      <c r="E6" s="1143"/>
      <c r="F6" s="1143"/>
      <c r="G6" s="1153" t="s">
        <v>549</v>
      </c>
      <c r="H6" s="1948"/>
      <c r="I6" s="1949"/>
      <c r="J6" s="776"/>
    </row>
    <row r="7" spans="1:18" ht="13.5" customHeight="1">
      <c r="B7" s="1148"/>
      <c r="C7" s="1148"/>
      <c r="D7" s="1148"/>
      <c r="E7" s="1143"/>
      <c r="F7" s="1273"/>
      <c r="G7" s="1274" t="str">
        <f>'KEY INPUTS'!D46</f>
        <v>Dec. 31, 2019</v>
      </c>
      <c r="H7" s="1149" t="s">
        <v>3451</v>
      </c>
      <c r="I7" s="1151" t="s">
        <v>550</v>
      </c>
      <c r="L7" s="322"/>
      <c r="M7" s="322"/>
      <c r="N7" s="322"/>
      <c r="O7" s="322"/>
      <c r="P7" s="322"/>
      <c r="Q7" s="322"/>
      <c r="R7" s="322"/>
    </row>
    <row r="8" spans="1:18" ht="13.5" customHeight="1" thickBot="1">
      <c r="B8" s="1155"/>
      <c r="C8" s="1155"/>
      <c r="D8" s="1155"/>
      <c r="E8" s="1155"/>
      <c r="F8" s="1275"/>
      <c r="G8" s="1276"/>
      <c r="H8" s="1157"/>
      <c r="I8" s="1277"/>
      <c r="L8" s="322"/>
      <c r="M8" s="322"/>
      <c r="N8" s="322"/>
      <c r="O8" s="322"/>
      <c r="P8" s="322"/>
      <c r="Q8" s="322"/>
      <c r="R8" s="322"/>
    </row>
    <row r="9" spans="1:18" ht="21" customHeight="1" thickTop="1">
      <c r="B9" s="1967"/>
      <c r="C9" s="1967"/>
      <c r="D9" s="1967"/>
      <c r="E9" s="1967"/>
      <c r="F9" s="1968"/>
      <c r="G9" s="803"/>
      <c r="H9" s="605"/>
      <c r="I9" s="804"/>
      <c r="L9" s="377"/>
      <c r="M9" s="322"/>
      <c r="N9" s="322"/>
      <c r="O9" s="322"/>
      <c r="P9" s="322"/>
      <c r="Q9" s="322"/>
      <c r="R9" s="322"/>
    </row>
    <row r="10" spans="1:18" ht="21" customHeight="1">
      <c r="B10" s="1969"/>
      <c r="C10" s="1969"/>
      <c r="D10" s="1969"/>
      <c r="E10" s="1969"/>
      <c r="F10" s="1970"/>
      <c r="G10" s="631"/>
      <c r="H10" s="601"/>
      <c r="I10" s="602"/>
      <c r="L10" s="322"/>
      <c r="M10" s="322"/>
      <c r="N10" s="322"/>
      <c r="O10" s="322"/>
      <c r="P10" s="322"/>
      <c r="Q10" s="322"/>
      <c r="R10" s="322"/>
    </row>
    <row r="11" spans="1:18" ht="21" customHeight="1">
      <c r="B11" s="1969"/>
      <c r="C11" s="1969"/>
      <c r="D11" s="1969"/>
      <c r="E11" s="1969"/>
      <c r="F11" s="1970"/>
      <c r="G11" s="631"/>
      <c r="H11" s="601"/>
      <c r="I11" s="602"/>
      <c r="L11" s="322"/>
      <c r="M11" s="322"/>
      <c r="N11" s="322"/>
      <c r="O11" s="322"/>
      <c r="P11" s="322"/>
      <c r="Q11" s="322"/>
      <c r="R11" s="322"/>
    </row>
    <row r="12" spans="1:18" ht="21" customHeight="1">
      <c r="B12" s="1969"/>
      <c r="C12" s="1969"/>
      <c r="D12" s="1969"/>
      <c r="E12" s="1969"/>
      <c r="F12" s="1970"/>
      <c r="G12" s="631"/>
      <c r="H12" s="601"/>
      <c r="I12" s="602"/>
      <c r="L12" s="322"/>
      <c r="M12" s="322"/>
      <c r="N12" s="322"/>
      <c r="O12" s="322"/>
      <c r="P12" s="322"/>
      <c r="Q12" s="322"/>
      <c r="R12" s="322"/>
    </row>
    <row r="13" spans="1:18" ht="21" customHeight="1">
      <c r="B13" s="1969"/>
      <c r="C13" s="1969"/>
      <c r="D13" s="1969"/>
      <c r="E13" s="1969"/>
      <c r="F13" s="1970"/>
      <c r="G13" s="631"/>
      <c r="H13" s="601"/>
      <c r="I13" s="602"/>
      <c r="L13" s="322"/>
      <c r="M13" s="322"/>
      <c r="N13" s="322"/>
      <c r="O13" s="322"/>
      <c r="P13" s="322"/>
      <c r="Q13" s="322"/>
      <c r="R13" s="322"/>
    </row>
    <row r="14" spans="1:18" ht="21" customHeight="1">
      <c r="B14" s="1969"/>
      <c r="C14" s="1969"/>
      <c r="D14" s="1969"/>
      <c r="E14" s="1969"/>
      <c r="F14" s="1970"/>
      <c r="G14" s="632"/>
      <c r="H14" s="601"/>
      <c r="I14" s="602"/>
      <c r="L14" s="322"/>
      <c r="M14" s="322"/>
      <c r="N14" s="322"/>
      <c r="O14" s="322"/>
      <c r="P14" s="322"/>
      <c r="Q14" s="322"/>
      <c r="R14" s="322"/>
    </row>
    <row r="15" spans="1:18" ht="21" customHeight="1">
      <c r="A15" s="1793" t="s">
        <v>3450</v>
      </c>
      <c r="B15" s="1969"/>
      <c r="C15" s="1969"/>
      <c r="D15" s="1969"/>
      <c r="E15" s="1969"/>
      <c r="F15" s="1970"/>
      <c r="G15" s="631"/>
      <c r="H15" s="601"/>
      <c r="I15" s="602"/>
      <c r="L15" s="322"/>
      <c r="M15" s="322"/>
      <c r="N15" s="322"/>
      <c r="O15" s="322"/>
      <c r="P15" s="322"/>
      <c r="Q15" s="322"/>
      <c r="R15" s="322"/>
    </row>
    <row r="16" spans="1:18" ht="21" customHeight="1">
      <c r="A16" s="1793"/>
      <c r="B16" s="1969"/>
      <c r="C16" s="1969"/>
      <c r="D16" s="1969"/>
      <c r="E16" s="1969"/>
      <c r="F16" s="1970"/>
      <c r="G16" s="631"/>
      <c r="H16" s="601"/>
      <c r="I16" s="602"/>
      <c r="L16" s="322"/>
      <c r="M16" s="322"/>
      <c r="N16" s="322"/>
      <c r="O16" s="322"/>
      <c r="P16" s="322"/>
      <c r="Q16" s="322"/>
      <c r="R16" s="322"/>
    </row>
    <row r="17" spans="1:18" ht="21" customHeight="1">
      <c r="A17" s="1793"/>
      <c r="B17" s="1969"/>
      <c r="C17" s="1969"/>
      <c r="D17" s="1969"/>
      <c r="E17" s="1969"/>
      <c r="F17" s="1970"/>
      <c r="G17" s="631"/>
      <c r="H17" s="601"/>
      <c r="I17" s="602"/>
      <c r="L17" s="322"/>
      <c r="M17" s="322"/>
      <c r="N17" s="322"/>
      <c r="O17" s="322"/>
      <c r="P17" s="322"/>
      <c r="Q17" s="322"/>
      <c r="R17" s="322"/>
    </row>
    <row r="18" spans="1:18" ht="21" customHeight="1">
      <c r="A18" s="545"/>
      <c r="B18" s="1969"/>
      <c r="C18" s="1969"/>
      <c r="D18" s="1969"/>
      <c r="E18" s="1969"/>
      <c r="F18" s="1970"/>
      <c r="G18" s="631"/>
      <c r="H18" s="601"/>
      <c r="I18" s="602"/>
      <c r="L18" s="322"/>
      <c r="M18" s="322"/>
      <c r="N18" s="322"/>
      <c r="O18" s="322"/>
      <c r="P18" s="322"/>
      <c r="Q18" s="322"/>
      <c r="R18" s="322"/>
    </row>
    <row r="19" spans="1:18" ht="21" customHeight="1">
      <c r="B19" s="1969"/>
      <c r="C19" s="1969"/>
      <c r="D19" s="1969"/>
      <c r="E19" s="1969"/>
      <c r="F19" s="1970"/>
      <c r="G19" s="631"/>
      <c r="H19" s="601"/>
      <c r="I19" s="602"/>
      <c r="L19" s="322"/>
      <c r="M19" s="322"/>
      <c r="N19" s="322"/>
      <c r="O19" s="322"/>
      <c r="P19" s="322"/>
      <c r="Q19" s="322"/>
      <c r="R19" s="322"/>
    </row>
    <row r="20" spans="1:18" ht="21" customHeight="1">
      <c r="B20" s="1969"/>
      <c r="C20" s="1969"/>
      <c r="D20" s="1969"/>
      <c r="E20" s="1969"/>
      <c r="F20" s="1970"/>
      <c r="G20" s="631"/>
      <c r="H20" s="601"/>
      <c r="I20" s="602"/>
      <c r="L20" s="322"/>
      <c r="M20" s="322"/>
      <c r="N20" s="322"/>
      <c r="O20" s="322"/>
      <c r="P20" s="322"/>
      <c r="Q20" s="322"/>
      <c r="R20" s="322"/>
    </row>
    <row r="21" spans="1:18" ht="21" customHeight="1">
      <c r="B21" s="1969"/>
      <c r="C21" s="1969"/>
      <c r="D21" s="1969"/>
      <c r="E21" s="1969"/>
      <c r="F21" s="1970"/>
      <c r="G21" s="631"/>
      <c r="H21" s="601"/>
      <c r="I21" s="602"/>
      <c r="L21" s="322"/>
      <c r="M21" s="322"/>
      <c r="N21" s="322"/>
      <c r="O21" s="322"/>
      <c r="P21" s="322"/>
      <c r="Q21" s="322"/>
      <c r="R21" s="322"/>
    </row>
    <row r="22" spans="1:18" ht="21" customHeight="1" thickBot="1">
      <c r="B22" s="1969"/>
      <c r="C22" s="1969"/>
      <c r="D22" s="1969"/>
      <c r="E22" s="1969"/>
      <c r="F22" s="1970"/>
      <c r="G22" s="633"/>
      <c r="H22" s="627"/>
      <c r="I22" s="634"/>
      <c r="L22" s="322"/>
      <c r="M22" s="322"/>
      <c r="N22" s="322"/>
      <c r="O22" s="322"/>
      <c r="P22" s="322"/>
      <c r="Q22" s="322"/>
      <c r="R22" s="322"/>
    </row>
    <row r="23" spans="1:18" ht="21" customHeight="1" thickTop="1" thickBot="1">
      <c r="B23" s="544"/>
      <c r="C23" s="1164"/>
      <c r="D23" s="1375" t="s">
        <v>174</v>
      </c>
      <c r="E23" s="1061"/>
      <c r="F23" s="1275"/>
      <c r="G23" s="1376">
        <f>SUM(G9:G22)</f>
        <v>0</v>
      </c>
      <c r="H23" s="1085">
        <f>SUM(H9:H22)</f>
        <v>0</v>
      </c>
      <c r="I23" s="1163">
        <f>SUM(I9:I22)</f>
        <v>0</v>
      </c>
      <c r="L23" s="322"/>
      <c r="M23" s="322"/>
      <c r="N23" s="322"/>
      <c r="O23" s="322"/>
      <c r="P23" s="322"/>
      <c r="Q23" s="322"/>
      <c r="R23" s="322"/>
    </row>
    <row r="24" spans="1:18" ht="13.5" customHeight="1" thickTop="1">
      <c r="B24" s="805"/>
      <c r="C24" s="411"/>
      <c r="D24" s="806"/>
      <c r="H24" s="504"/>
      <c r="I24" s="504"/>
    </row>
    <row r="25" spans="1:18" ht="13.5" customHeight="1">
      <c r="B25" s="805"/>
      <c r="C25" s="411"/>
      <c r="D25" s="806"/>
    </row>
    <row r="26" spans="1:18" ht="13.5" customHeight="1">
      <c r="B26" s="805"/>
      <c r="C26" s="411"/>
      <c r="D26" s="806"/>
      <c r="H26" s="802"/>
    </row>
    <row r="27" spans="1:18">
      <c r="B27" s="541"/>
      <c r="C27" s="411"/>
      <c r="D27" s="411"/>
    </row>
  </sheetData>
  <sheetProtection algorithmName="SHA-512" hashValue="VjEHSo1P8alOMbW5ILMGtmjH5Uoagr/E2R2WpzhRoLMRI8CyXiqZD+bR3i69V6ZUib8W+rmQVIGHCP4UY4MIug==" saltValue="z+7EbUf/vrQW6ouaphRZ8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6">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INPUTS'!D57)&amp;"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944"/>
      <c r="C4" s="1944"/>
      <c r="D4" s="1945"/>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153"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702"/>
      <c r="C9" s="674"/>
      <c r="D9" s="677"/>
      <c r="E9" s="605"/>
      <c r="F9" s="605"/>
      <c r="G9" s="605"/>
      <c r="H9" s="605"/>
      <c r="I9" s="605"/>
      <c r="J9" s="605"/>
      <c r="K9" s="605"/>
      <c r="L9" s="804"/>
      <c r="O9" s="322"/>
      <c r="P9" s="322"/>
      <c r="Q9" s="322"/>
      <c r="R9" s="322"/>
      <c r="S9" s="322"/>
      <c r="T9" s="322"/>
      <c r="U9" s="322"/>
    </row>
    <row r="10" spans="2:21" ht="21" customHeight="1">
      <c r="B10" s="706"/>
      <c r="C10" s="648"/>
      <c r="D10" s="652"/>
      <c r="E10" s="601"/>
      <c r="F10" s="601"/>
      <c r="G10" s="601"/>
      <c r="H10" s="601"/>
      <c r="I10" s="601"/>
      <c r="J10" s="601"/>
      <c r="K10" s="602"/>
      <c r="L10" s="602"/>
      <c r="O10" s="377"/>
      <c r="P10" s="322"/>
      <c r="Q10" s="322"/>
      <c r="R10" s="322"/>
      <c r="S10" s="322"/>
      <c r="T10" s="322"/>
      <c r="U10" s="322"/>
    </row>
    <row r="11" spans="2:21" ht="21" customHeight="1">
      <c r="B11" s="807"/>
      <c r="C11" s="648"/>
      <c r="D11" s="652"/>
      <c r="E11" s="601"/>
      <c r="F11" s="601"/>
      <c r="G11" s="601"/>
      <c r="H11" s="601"/>
      <c r="I11" s="601"/>
      <c r="J11" s="601"/>
      <c r="K11" s="602"/>
      <c r="L11" s="602"/>
      <c r="O11" s="322"/>
      <c r="P11" s="322"/>
      <c r="Q11" s="322"/>
      <c r="R11" s="322"/>
      <c r="S11" s="322"/>
      <c r="T11" s="322"/>
      <c r="U11" s="322"/>
    </row>
    <row r="12" spans="2:21" ht="21" customHeight="1">
      <c r="B12" s="807"/>
      <c r="C12" s="648"/>
      <c r="D12" s="652"/>
      <c r="E12" s="601"/>
      <c r="F12" s="601"/>
      <c r="G12" s="601"/>
      <c r="H12" s="601"/>
      <c r="I12" s="374"/>
      <c r="J12" s="601"/>
      <c r="K12" s="602"/>
      <c r="L12" s="602"/>
      <c r="O12" s="322"/>
      <c r="P12" s="322"/>
      <c r="Q12" s="322"/>
      <c r="R12" s="322"/>
      <c r="S12" s="322"/>
      <c r="T12" s="322"/>
      <c r="U12" s="322"/>
    </row>
    <row r="13" spans="2:21" ht="21" customHeight="1">
      <c r="B13" s="807"/>
      <c r="C13" s="648"/>
      <c r="D13" s="652"/>
      <c r="E13" s="601"/>
      <c r="F13" s="601"/>
      <c r="G13" s="601"/>
      <c r="H13" s="601"/>
      <c r="I13" s="601"/>
      <c r="J13" s="601"/>
      <c r="K13" s="602"/>
      <c r="L13" s="602"/>
      <c r="O13" s="322"/>
      <c r="P13" s="322"/>
      <c r="Q13" s="322"/>
      <c r="R13" s="322"/>
      <c r="S13" s="322"/>
      <c r="T13" s="322"/>
      <c r="U13" s="322"/>
    </row>
    <row r="14" spans="2:21" ht="21" customHeight="1">
      <c r="B14" s="706"/>
      <c r="C14" s="648"/>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3452</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3660</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440"/>
      <c r="C28" s="1166" t="s">
        <v>663</v>
      </c>
      <c r="D28" s="1441"/>
      <c r="E28" s="1148"/>
      <c r="F28" s="1148"/>
      <c r="G28" s="1148"/>
      <c r="H28" s="1148"/>
      <c r="I28" s="1148"/>
      <c r="J28" s="1148"/>
      <c r="K28" s="1371"/>
      <c r="L28" s="1371"/>
    </row>
    <row r="42" spans="11:12">
      <c r="K42" s="331" t="s">
        <v>3495</v>
      </c>
      <c r="L42" s="553">
        <f>K27+L27</f>
        <v>0</v>
      </c>
    </row>
  </sheetData>
  <sheetProtection algorithmName="SHA-512" hashValue="0jvxnQnMToVt4WByRqxC+etq2zDXO5pRc6WD5EREDCjI3sps9PLS9fBCHdwrRrnlwdA3lV2wG1438w/PZT7deA==" saltValue="HJalhgfZd3T7G/kgGHuVY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7">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INPUTS'!D57)&amp;"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944"/>
      <c r="C4" s="1944"/>
      <c r="D4" s="1945"/>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153"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311">
        <f>+'52-Utility 6'!E27</f>
        <v>0</v>
      </c>
      <c r="F9" s="1311">
        <f>+'52-Utility 6'!F27</f>
        <v>0</v>
      </c>
      <c r="G9" s="1311">
        <f>+'52-Utility 6'!G27</f>
        <v>0</v>
      </c>
      <c r="H9" s="1311">
        <f>+'52-Utility 6'!H27</f>
        <v>0</v>
      </c>
      <c r="I9" s="1311">
        <f>+'52-Utility 6'!I27</f>
        <v>0</v>
      </c>
      <c r="J9" s="1311">
        <f>+'52-Utility 6'!J27</f>
        <v>0</v>
      </c>
      <c r="K9" s="1311">
        <f>+'52-Utility 6'!K27</f>
        <v>0</v>
      </c>
      <c r="L9" s="1442">
        <f>+'52-Utility 6'!L27</f>
        <v>0</v>
      </c>
      <c r="O9" s="322"/>
      <c r="P9" s="322"/>
      <c r="Q9" s="322"/>
      <c r="R9" s="322"/>
      <c r="S9" s="322"/>
      <c r="T9" s="322"/>
      <c r="U9" s="322"/>
    </row>
    <row r="10" spans="2:21" ht="21" customHeight="1">
      <c r="B10" s="706"/>
      <c r="C10" s="648"/>
      <c r="D10" s="652"/>
      <c r="E10" s="601"/>
      <c r="F10" s="601"/>
      <c r="G10" s="601"/>
      <c r="H10" s="601"/>
      <c r="I10" s="601"/>
      <c r="J10" s="601"/>
      <c r="K10" s="602"/>
      <c r="L10" s="602"/>
      <c r="O10" s="377"/>
      <c r="P10" s="322"/>
      <c r="Q10" s="322"/>
      <c r="R10" s="322"/>
      <c r="S10" s="322"/>
      <c r="T10" s="322"/>
      <c r="U10" s="322"/>
    </row>
    <row r="11" spans="2:21" ht="21" customHeight="1">
      <c r="B11" s="807"/>
      <c r="C11" s="648"/>
      <c r="D11" s="652"/>
      <c r="E11" s="601"/>
      <c r="F11" s="601"/>
      <c r="G11" s="601"/>
      <c r="H11" s="601"/>
      <c r="I11" s="601"/>
      <c r="J11" s="601"/>
      <c r="K11" s="602"/>
      <c r="L11" s="602"/>
      <c r="O11" s="322"/>
      <c r="P11" s="322"/>
      <c r="Q11" s="322"/>
      <c r="R11" s="322"/>
      <c r="S11" s="322"/>
      <c r="T11" s="322"/>
      <c r="U11" s="322"/>
    </row>
    <row r="12" spans="2:21" ht="21" customHeight="1">
      <c r="B12" s="807"/>
      <c r="C12" s="648"/>
      <c r="D12" s="652"/>
      <c r="E12" s="601"/>
      <c r="F12" s="601"/>
      <c r="G12" s="601"/>
      <c r="H12" s="601"/>
      <c r="I12" s="374"/>
      <c r="J12" s="601"/>
      <c r="K12" s="602"/>
      <c r="L12" s="602"/>
      <c r="O12" s="322"/>
      <c r="P12" s="322"/>
      <c r="Q12" s="322"/>
      <c r="R12" s="322"/>
      <c r="S12" s="322"/>
      <c r="T12" s="322"/>
      <c r="U12" s="322"/>
    </row>
    <row r="13" spans="2:21" ht="21" customHeight="1">
      <c r="B13" s="807"/>
      <c r="C13" s="648"/>
      <c r="D13" s="652"/>
      <c r="E13" s="601"/>
      <c r="F13" s="601"/>
      <c r="G13" s="601"/>
      <c r="H13" s="601"/>
      <c r="I13" s="601"/>
      <c r="J13" s="601"/>
      <c r="K13" s="602"/>
      <c r="L13" s="602"/>
      <c r="O13" s="322"/>
      <c r="P13" s="322"/>
      <c r="Q13" s="322"/>
      <c r="R13" s="322"/>
      <c r="S13" s="322"/>
      <c r="T13" s="322"/>
      <c r="U13" s="322"/>
    </row>
    <row r="14" spans="2:21" ht="21" customHeight="1">
      <c r="B14" s="706"/>
      <c r="C14" s="648"/>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3653</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3660</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440"/>
      <c r="C28" s="1166" t="s">
        <v>663</v>
      </c>
      <c r="D28" s="1441"/>
      <c r="E28" s="1148"/>
      <c r="F28" s="1148"/>
      <c r="G28" s="1148"/>
      <c r="H28" s="1148"/>
      <c r="I28" s="1148"/>
      <c r="J28" s="1148"/>
      <c r="K28" s="1371"/>
      <c r="L28" s="1371"/>
    </row>
    <row r="42" spans="11:12">
      <c r="K42" s="331" t="s">
        <v>3495</v>
      </c>
      <c r="L42" s="553">
        <f>K27+L27</f>
        <v>0</v>
      </c>
    </row>
  </sheetData>
  <sheetProtection algorithmName="SHA-512" hashValue="btX/jLvwkZC6q2nN+LmGLVYhWeUwd4Y9ugRFJCkhMFwjj2o1rjIFuaJuD0noT1QLXYRDaF2zhAs0GcUgZOrOrg==" saltValue="56Og0tr//UK+3y4BqyRa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8">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INPUTS'!D57)&amp;"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944"/>
      <c r="C4" s="1944"/>
      <c r="D4" s="1945"/>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153"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311">
        <f>+'52.1-Utility6'!E27</f>
        <v>0</v>
      </c>
      <c r="F9" s="1311">
        <f>+'52.1-Utility6'!F27</f>
        <v>0</v>
      </c>
      <c r="G9" s="1311">
        <f>+'52.1-Utility6'!G27</f>
        <v>0</v>
      </c>
      <c r="H9" s="1311">
        <f>+'52.1-Utility6'!H27</f>
        <v>0</v>
      </c>
      <c r="I9" s="1311">
        <f>+'52.1-Utility6'!I27</f>
        <v>0</v>
      </c>
      <c r="J9" s="1311">
        <f>+'52.1-Utility6'!J27</f>
        <v>0</v>
      </c>
      <c r="K9" s="1311">
        <f>+'52.1-Utility6'!K27</f>
        <v>0</v>
      </c>
      <c r="L9" s="1442">
        <f>+'52.1-Utility6'!L27</f>
        <v>0</v>
      </c>
      <c r="O9" s="322"/>
      <c r="P9" s="322"/>
      <c r="Q9" s="322"/>
      <c r="R9" s="322"/>
      <c r="S9" s="322"/>
      <c r="T9" s="322"/>
      <c r="U9" s="322"/>
    </row>
    <row r="10" spans="2:21" ht="21" customHeight="1">
      <c r="B10" s="706"/>
      <c r="C10" s="648"/>
      <c r="D10" s="652"/>
      <c r="E10" s="601"/>
      <c r="F10" s="601"/>
      <c r="G10" s="601"/>
      <c r="H10" s="601"/>
      <c r="I10" s="601"/>
      <c r="J10" s="601"/>
      <c r="K10" s="602"/>
      <c r="L10" s="602"/>
      <c r="O10" s="377"/>
      <c r="P10" s="322"/>
      <c r="Q10" s="322"/>
      <c r="R10" s="322"/>
      <c r="S10" s="322"/>
      <c r="T10" s="322"/>
      <c r="U10" s="322"/>
    </row>
    <row r="11" spans="2:21" ht="21" customHeight="1">
      <c r="B11" s="807"/>
      <c r="C11" s="648"/>
      <c r="D11" s="652"/>
      <c r="E11" s="601"/>
      <c r="F11" s="601"/>
      <c r="G11" s="601"/>
      <c r="H11" s="601"/>
      <c r="I11" s="601"/>
      <c r="J11" s="601"/>
      <c r="K11" s="602"/>
      <c r="L11" s="602"/>
      <c r="O11" s="322"/>
      <c r="P11" s="322"/>
      <c r="Q11" s="322"/>
      <c r="R11" s="322"/>
      <c r="S11" s="322"/>
      <c r="T11" s="322"/>
      <c r="U11" s="322"/>
    </row>
    <row r="12" spans="2:21" ht="21" customHeight="1">
      <c r="B12" s="807"/>
      <c r="C12" s="648"/>
      <c r="D12" s="652"/>
      <c r="E12" s="601"/>
      <c r="F12" s="601"/>
      <c r="G12" s="601"/>
      <c r="H12" s="601"/>
      <c r="I12" s="374"/>
      <c r="J12" s="601"/>
      <c r="K12" s="602"/>
      <c r="L12" s="602"/>
      <c r="O12" s="322"/>
      <c r="P12" s="322"/>
      <c r="Q12" s="322"/>
      <c r="R12" s="322"/>
      <c r="S12" s="322"/>
      <c r="T12" s="322"/>
      <c r="U12" s="322"/>
    </row>
    <row r="13" spans="2:21" ht="21" customHeight="1">
      <c r="B13" s="807"/>
      <c r="C13" s="648"/>
      <c r="D13" s="652"/>
      <c r="E13" s="601"/>
      <c r="F13" s="601"/>
      <c r="G13" s="601"/>
      <c r="H13" s="601"/>
      <c r="I13" s="601"/>
      <c r="J13" s="601"/>
      <c r="K13" s="602"/>
      <c r="L13" s="602"/>
      <c r="O13" s="322"/>
      <c r="P13" s="322"/>
      <c r="Q13" s="322"/>
      <c r="R13" s="322"/>
      <c r="S13" s="322"/>
      <c r="T13" s="322"/>
      <c r="U13" s="322"/>
    </row>
    <row r="14" spans="2:21" ht="21" customHeight="1">
      <c r="B14" s="706"/>
      <c r="C14" s="648"/>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3654</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3660</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440"/>
      <c r="C28" s="1166" t="s">
        <v>663</v>
      </c>
      <c r="D28" s="1441"/>
      <c r="E28" s="1148"/>
      <c r="F28" s="1148"/>
      <c r="G28" s="1148"/>
      <c r="H28" s="1148"/>
      <c r="I28" s="1148"/>
      <c r="J28" s="1148"/>
      <c r="K28" s="1371"/>
      <c r="L28" s="1371"/>
    </row>
    <row r="42" spans="11:12">
      <c r="K42" s="331" t="s">
        <v>3495</v>
      </c>
      <c r="L42" s="553">
        <f>K27+L27</f>
        <v>0</v>
      </c>
    </row>
  </sheetData>
  <sheetProtection algorithmName="SHA-512" hashValue="SpGOx35KLTRF7ISBNXX7BAPG827c5y3rlAQmUIAIAWbcfPLZa/ZcboMopbmUYBtd/cImS+FIjyJDk12pS4dHYA==" saltValue="UR1LyEKwCMKq4xrGYWZS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K66"/>
  <sheetViews>
    <sheetView topLeftCell="A16" zoomScaleNormal="100" workbookViewId="0">
      <selection activeCell="G7" sqref="G7"/>
    </sheetView>
  </sheetViews>
  <sheetFormatPr defaultRowHeight="13.2"/>
  <cols>
    <col min="1" max="4" width="4.6640625" customWidth="1"/>
    <col min="5" max="9" width="16.6640625" customWidth="1"/>
    <col min="10" max="10" width="13.5546875" bestFit="1" customWidth="1"/>
    <col min="11" max="11" width="9.441406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3.4" thickBot="1">
      <c r="A3" s="322"/>
      <c r="B3" s="1578" t="str">
        <f>"CASH  RECONCILIATION  DECEMBER  31, "&amp;TEXT('KEY INPUTS'!D34,"0")</f>
        <v>CASH  RECONCILIATION  DECEMBER  31, 2019</v>
      </c>
      <c r="C3" s="1578"/>
      <c r="D3" s="1578"/>
      <c r="E3" s="1578"/>
      <c r="F3" s="1578"/>
      <c r="G3" s="1578"/>
      <c r="H3" s="1578"/>
      <c r="I3" s="1578"/>
    </row>
    <row r="4" spans="1:11" ht="30" customHeight="1" thickTop="1">
      <c r="B4" s="11"/>
      <c r="C4" s="11"/>
      <c r="D4" s="11"/>
      <c r="E4" s="11"/>
      <c r="F4" s="1579" t="s">
        <v>253</v>
      </c>
      <c r="G4" s="1580"/>
      <c r="H4" s="54" t="s">
        <v>256</v>
      </c>
      <c r="I4" s="820" t="s">
        <v>258</v>
      </c>
    </row>
    <row r="5" spans="1:11" ht="30" customHeight="1">
      <c r="B5" s="322"/>
      <c r="C5" s="322"/>
      <c r="D5" s="322"/>
      <c r="E5" s="322"/>
      <c r="F5" s="764" t="s">
        <v>254</v>
      </c>
      <c r="G5" s="25" t="s">
        <v>255</v>
      </c>
      <c r="H5" s="201" t="s">
        <v>257</v>
      </c>
      <c r="I5" s="202" t="s">
        <v>672</v>
      </c>
    </row>
    <row r="6" spans="1:11" ht="21" customHeight="1">
      <c r="A6" s="855"/>
      <c r="B6" s="1581" t="s">
        <v>676</v>
      </c>
      <c r="C6" s="1581"/>
      <c r="D6" s="1581"/>
      <c r="E6" s="1582"/>
      <c r="F6" s="372">
        <f>450+24369.6+554594.78</f>
        <v>579414.38</v>
      </c>
      <c r="G6" s="372">
        <f>34139323.67-25936.54</f>
        <v>34113387.130000003</v>
      </c>
      <c r="H6" s="372">
        <f>872766.97+1617.74</f>
        <v>874384.71</v>
      </c>
      <c r="I6" s="214">
        <f>+F6+G6-H6</f>
        <v>33818416.800000004</v>
      </c>
      <c r="J6" s="228"/>
      <c r="K6" s="743"/>
    </row>
    <row r="7" spans="1:11" s="322" customFormat="1" ht="21" customHeight="1">
      <c r="A7" s="855"/>
      <c r="B7" s="1583" t="s">
        <v>3473</v>
      </c>
      <c r="C7" s="1581"/>
      <c r="D7" s="1581"/>
      <c r="E7" s="1582"/>
      <c r="F7" s="372"/>
      <c r="G7" s="372">
        <v>910054.37</v>
      </c>
      <c r="H7" s="372">
        <v>1170.3399999999999</v>
      </c>
      <c r="I7" s="214">
        <f t="shared" ref="I7:I13" si="0">+F7+G7-H7</f>
        <v>908884.03</v>
      </c>
      <c r="J7" s="325"/>
      <c r="K7" s="743"/>
    </row>
    <row r="8" spans="1:11" ht="21" customHeight="1">
      <c r="A8" s="855"/>
      <c r="B8" s="1583" t="s">
        <v>3523</v>
      </c>
      <c r="C8" s="1581"/>
      <c r="D8" s="1581"/>
      <c r="E8" s="1582"/>
      <c r="F8" s="372"/>
      <c r="G8" s="372">
        <v>30389.75</v>
      </c>
      <c r="H8" s="372"/>
      <c r="I8" s="214">
        <f t="shared" si="0"/>
        <v>30389.75</v>
      </c>
      <c r="K8" s="743"/>
    </row>
    <row r="9" spans="1:11" ht="21" customHeight="1">
      <c r="A9" s="855"/>
      <c r="B9" s="1583" t="s">
        <v>3522</v>
      </c>
      <c r="C9" s="1581"/>
      <c r="D9" s="1581"/>
      <c r="E9" s="1582"/>
      <c r="F9" s="372"/>
      <c r="G9" s="372"/>
      <c r="H9" s="372"/>
      <c r="I9" s="214">
        <f t="shared" si="0"/>
        <v>0</v>
      </c>
      <c r="J9" s="228"/>
    </row>
    <row r="10" spans="1:11" ht="21" customHeight="1">
      <c r="A10" s="855"/>
      <c r="B10" s="1583" t="s">
        <v>3518</v>
      </c>
      <c r="C10" s="1581"/>
      <c r="D10" s="1581"/>
      <c r="E10" s="1582"/>
      <c r="F10" s="372"/>
      <c r="G10" s="372">
        <f>6801928.88</f>
        <v>6801928.8799999999</v>
      </c>
      <c r="H10" s="372"/>
      <c r="I10" s="214">
        <f t="shared" si="0"/>
        <v>6801928.8799999999</v>
      </c>
      <c r="J10" s="228"/>
      <c r="K10" s="228"/>
    </row>
    <row r="11" spans="1:11" ht="21" customHeight="1">
      <c r="A11" s="855"/>
      <c r="B11" s="1583" t="s">
        <v>3519</v>
      </c>
      <c r="C11" s="1581"/>
      <c r="D11" s="1581"/>
      <c r="E11" s="1582"/>
      <c r="F11" s="372"/>
      <c r="G11" s="372"/>
      <c r="H11" s="372"/>
      <c r="I11" s="214">
        <f t="shared" si="0"/>
        <v>0</v>
      </c>
      <c r="J11" s="228"/>
    </row>
    <row r="12" spans="1:11" ht="21" customHeight="1">
      <c r="A12" s="855"/>
      <c r="B12" s="1583" t="s">
        <v>3520</v>
      </c>
      <c r="C12" s="1581"/>
      <c r="D12" s="1581"/>
      <c r="E12" s="1582"/>
      <c r="F12" s="372"/>
      <c r="G12" s="372">
        <v>71436.69</v>
      </c>
      <c r="H12" s="372"/>
      <c r="I12" s="214">
        <f t="shared" si="0"/>
        <v>71436.69</v>
      </c>
    </row>
    <row r="13" spans="1:11" ht="21" customHeight="1">
      <c r="A13" s="855"/>
      <c r="B13" s="1583" t="s">
        <v>3521</v>
      </c>
      <c r="C13" s="1581"/>
      <c r="D13" s="1581"/>
      <c r="E13" s="1582"/>
      <c r="F13" s="372">
        <v>15799.85</v>
      </c>
      <c r="G13" s="372">
        <v>6026735.5599999996</v>
      </c>
      <c r="H13" s="372">
        <f>10575.25+70715.38+356079.03</f>
        <v>437369.66000000003</v>
      </c>
      <c r="I13" s="214">
        <f t="shared" si="0"/>
        <v>5605165.7499999991</v>
      </c>
    </row>
    <row r="14" spans="1:11" ht="21" customHeight="1">
      <c r="B14" s="1584" t="s">
        <v>3809</v>
      </c>
      <c r="C14" s="1584"/>
      <c r="D14" s="1584"/>
      <c r="E14" s="1585"/>
      <c r="F14" s="372">
        <v>478.1</v>
      </c>
      <c r="G14" s="372">
        <f>57386.33+250000</f>
        <v>307386.33</v>
      </c>
      <c r="H14" s="372"/>
      <c r="I14" s="214">
        <f t="shared" ref="I14" si="1">+F14+G14-H14</f>
        <v>307864.43</v>
      </c>
    </row>
    <row r="15" spans="1:11" ht="20.25" customHeight="1">
      <c r="B15" s="1583" t="s">
        <v>3472</v>
      </c>
      <c r="C15" s="1581"/>
      <c r="D15" s="1581"/>
      <c r="E15" s="1582"/>
      <c r="F15" s="372">
        <v>1617.74</v>
      </c>
      <c r="G15" s="372">
        <f>25000+2718718.96+194051.07+2500000</f>
        <v>5437770.0299999993</v>
      </c>
      <c r="H15" s="372">
        <v>9210.3799999999992</v>
      </c>
      <c r="I15" s="214">
        <f t="shared" ref="I15:I34" si="2">+F15+G15-H15</f>
        <v>5430177.3899999997</v>
      </c>
    </row>
    <row r="16" spans="1:11" ht="21" customHeight="1">
      <c r="B16" s="1586"/>
      <c r="C16" s="1584"/>
      <c r="D16" s="1584"/>
      <c r="E16" s="1585"/>
      <c r="F16" s="372"/>
      <c r="G16" s="372"/>
      <c r="H16" s="372"/>
      <c r="I16" s="214">
        <f t="shared" si="2"/>
        <v>0</v>
      </c>
    </row>
    <row r="17" spans="2:11" ht="21" customHeight="1">
      <c r="B17" s="1583" t="s">
        <v>3524</v>
      </c>
      <c r="C17" s="1581"/>
      <c r="D17" s="1581"/>
      <c r="E17" s="1582"/>
      <c r="F17" s="372"/>
      <c r="G17" s="372"/>
      <c r="H17" s="372"/>
      <c r="I17" s="214">
        <f t="shared" si="2"/>
        <v>0</v>
      </c>
      <c r="J17" s="228"/>
      <c r="K17" s="762" t="s">
        <v>3525</v>
      </c>
    </row>
    <row r="18" spans="2:11" ht="21" customHeight="1">
      <c r="B18" s="1586" t="s">
        <v>3807</v>
      </c>
      <c r="C18" s="1584"/>
      <c r="D18" s="1584"/>
      <c r="E18" s="1585"/>
      <c r="F18" s="372">
        <f>25286.62+300</f>
        <v>25586.62</v>
      </c>
      <c r="G18" s="372">
        <f>139456.38+3851062.54</f>
        <v>3990518.92</v>
      </c>
      <c r="H18" s="372">
        <f>554594.78+160.99</f>
        <v>554755.77</v>
      </c>
      <c r="I18" s="214">
        <f t="shared" si="2"/>
        <v>3461349.77</v>
      </c>
      <c r="J18" s="228"/>
    </row>
    <row r="19" spans="2:11" ht="21" customHeight="1">
      <c r="B19" s="1586" t="s">
        <v>3808</v>
      </c>
      <c r="C19" s="1584"/>
      <c r="D19" s="1584"/>
      <c r="E19" s="1585"/>
      <c r="F19" s="372"/>
      <c r="G19" s="372">
        <v>3399494.11</v>
      </c>
      <c r="H19" s="372"/>
      <c r="I19" s="214">
        <f t="shared" si="2"/>
        <v>3399494.11</v>
      </c>
    </row>
    <row r="20" spans="2:11" ht="21" customHeight="1">
      <c r="B20" s="1586"/>
      <c r="C20" s="1584"/>
      <c r="D20" s="1584"/>
      <c r="E20" s="1585"/>
      <c r="F20" s="372"/>
      <c r="G20" s="372"/>
      <c r="H20" s="372"/>
      <c r="I20" s="214">
        <f t="shared" si="2"/>
        <v>0</v>
      </c>
    </row>
    <row r="21" spans="2:11" ht="21" customHeight="1">
      <c r="B21" s="1584"/>
      <c r="C21" s="1584"/>
      <c r="D21" s="1584"/>
      <c r="E21" s="1585"/>
      <c r="F21" s="372"/>
      <c r="G21" s="372"/>
      <c r="H21" s="372"/>
      <c r="I21" s="214">
        <f t="shared" si="2"/>
        <v>0</v>
      </c>
    </row>
    <row r="22" spans="2:11" ht="21" customHeight="1">
      <c r="B22" s="1586"/>
      <c r="C22" s="1584"/>
      <c r="D22" s="1584"/>
      <c r="E22" s="1585"/>
      <c r="F22" s="372"/>
      <c r="G22" s="372"/>
      <c r="H22" s="372"/>
      <c r="I22" s="214">
        <f t="shared" si="2"/>
        <v>0</v>
      </c>
    </row>
    <row r="23" spans="2:11" ht="21" customHeight="1">
      <c r="B23" s="1586"/>
      <c r="C23" s="1584"/>
      <c r="D23" s="1584"/>
      <c r="E23" s="1585"/>
      <c r="F23" s="372"/>
      <c r="G23" s="372"/>
      <c r="H23" s="372"/>
      <c r="I23" s="214">
        <f t="shared" si="2"/>
        <v>0</v>
      </c>
    </row>
    <row r="24" spans="2:11" ht="21" customHeight="1">
      <c r="B24" s="1584"/>
      <c r="C24" s="1584"/>
      <c r="D24" s="1584"/>
      <c r="E24" s="1585"/>
      <c r="F24" s="372"/>
      <c r="G24" s="372"/>
      <c r="H24" s="372"/>
      <c r="I24" s="214">
        <f t="shared" si="2"/>
        <v>0</v>
      </c>
    </row>
    <row r="25" spans="2:11" ht="21" customHeight="1">
      <c r="B25" s="1584"/>
      <c r="C25" s="1584"/>
      <c r="D25" s="1584"/>
      <c r="E25" s="1585"/>
      <c r="F25" s="372"/>
      <c r="G25" s="372"/>
      <c r="H25" s="372"/>
      <c r="I25" s="214">
        <f t="shared" si="2"/>
        <v>0</v>
      </c>
    </row>
    <row r="26" spans="2:11" ht="21" customHeight="1">
      <c r="B26" s="1584"/>
      <c r="C26" s="1584"/>
      <c r="D26" s="1584"/>
      <c r="E26" s="1585"/>
      <c r="F26" s="372"/>
      <c r="G26" s="372"/>
      <c r="H26" s="372"/>
      <c r="I26" s="214">
        <f t="shared" si="2"/>
        <v>0</v>
      </c>
    </row>
    <row r="27" spans="2:11" s="322" customFormat="1" ht="21" customHeight="1">
      <c r="B27" s="765"/>
      <c r="C27" s="765"/>
      <c r="D27" s="765"/>
      <c r="E27" s="766"/>
      <c r="F27" s="372"/>
      <c r="G27" s="372"/>
      <c r="H27" s="372"/>
      <c r="I27" s="214">
        <f t="shared" si="2"/>
        <v>0</v>
      </c>
    </row>
    <row r="28" spans="2:11" s="322" customFormat="1" ht="21" customHeight="1">
      <c r="B28" s="765"/>
      <c r="C28" s="765"/>
      <c r="D28" s="765"/>
      <c r="E28" s="766"/>
      <c r="F28" s="372"/>
      <c r="G28" s="372"/>
      <c r="H28" s="372"/>
      <c r="I28" s="214">
        <f t="shared" si="2"/>
        <v>0</v>
      </c>
    </row>
    <row r="29" spans="2:11" s="322" customFormat="1" ht="21" customHeight="1">
      <c r="B29" s="765"/>
      <c r="C29" s="765"/>
      <c r="D29" s="765"/>
      <c r="E29" s="766"/>
      <c r="F29" s="372"/>
      <c r="G29" s="372"/>
      <c r="H29" s="372"/>
      <c r="I29" s="214">
        <f t="shared" si="2"/>
        <v>0</v>
      </c>
    </row>
    <row r="30" spans="2:11" ht="21" customHeight="1">
      <c r="B30" s="1584"/>
      <c r="C30" s="1584"/>
      <c r="D30" s="1584"/>
      <c r="E30" s="1585"/>
      <c r="F30" s="372"/>
      <c r="G30" s="372"/>
      <c r="H30" s="372"/>
      <c r="I30" s="214">
        <f t="shared" si="2"/>
        <v>0</v>
      </c>
    </row>
    <row r="31" spans="2:11" ht="21" customHeight="1">
      <c r="B31" s="1584"/>
      <c r="C31" s="1584"/>
      <c r="D31" s="1584"/>
      <c r="E31" s="1585"/>
      <c r="F31" s="372"/>
      <c r="G31" s="372"/>
      <c r="H31" s="372"/>
      <c r="I31" s="214">
        <f t="shared" si="2"/>
        <v>0</v>
      </c>
    </row>
    <row r="32" spans="2:11" ht="21" customHeight="1">
      <c r="B32" s="1584"/>
      <c r="C32" s="1584"/>
      <c r="D32" s="1584"/>
      <c r="E32" s="1585"/>
      <c r="F32" s="372"/>
      <c r="G32" s="372"/>
      <c r="H32" s="372"/>
      <c r="I32" s="214">
        <f t="shared" si="2"/>
        <v>0</v>
      </c>
    </row>
    <row r="33" spans="2:9" ht="21" customHeight="1">
      <c r="B33" s="1584"/>
      <c r="C33" s="1584"/>
      <c r="D33" s="1584"/>
      <c r="E33" s="1585"/>
      <c r="F33" s="372"/>
      <c r="G33" s="372"/>
      <c r="H33" s="372"/>
      <c r="I33" s="214">
        <f t="shared" si="2"/>
        <v>0</v>
      </c>
    </row>
    <row r="34" spans="2:9" ht="21" customHeight="1">
      <c r="B34" s="1587"/>
      <c r="C34" s="1587"/>
      <c r="D34" s="1587"/>
      <c r="E34" s="1588"/>
      <c r="F34" s="591"/>
      <c r="G34" s="591"/>
      <c r="H34" s="591"/>
      <c r="I34" s="231">
        <f t="shared" si="2"/>
        <v>0</v>
      </c>
    </row>
    <row r="35" spans="2:9" ht="21" customHeight="1" thickBot="1">
      <c r="B35" s="10"/>
      <c r="C35" s="10"/>
      <c r="D35" s="10"/>
      <c r="E35" s="29" t="s">
        <v>260</v>
      </c>
      <c r="F35" s="219">
        <f>SUM(F6:F34)</f>
        <v>622896.68999999994</v>
      </c>
      <c r="G35" s="219">
        <f>SUM(G6:G34)</f>
        <v>61089101.770000003</v>
      </c>
      <c r="H35" s="219">
        <f>SUM(H6:H34)</f>
        <v>1876890.8599999999</v>
      </c>
      <c r="I35" s="220">
        <f>SUM(I6:I34)</f>
        <v>59835107.600000009</v>
      </c>
    </row>
    <row r="36" spans="2:9" ht="13.8" thickTop="1">
      <c r="B36" s="34" t="s">
        <v>713</v>
      </c>
      <c r="C36" s="322"/>
      <c r="D36" s="322"/>
      <c r="E36" s="322"/>
      <c r="F36" s="322"/>
      <c r="G36" s="325"/>
      <c r="H36" s="322"/>
      <c r="I36" s="322"/>
    </row>
    <row r="37" spans="2:9">
      <c r="B37" s="34" t="s">
        <v>714</v>
      </c>
      <c r="C37" s="322"/>
      <c r="D37" s="322"/>
      <c r="E37" s="322"/>
      <c r="F37" s="322"/>
      <c r="G37" s="325"/>
      <c r="H37" s="322"/>
      <c r="I37" s="322"/>
    </row>
    <row r="38" spans="2:9">
      <c r="B38" s="34"/>
      <c r="C38" s="322"/>
      <c r="D38" s="322"/>
      <c r="E38" s="322"/>
      <c r="F38" s="322"/>
      <c r="G38" s="322"/>
      <c r="H38" s="322"/>
      <c r="I38" s="322"/>
    </row>
    <row r="39" spans="2:9" ht="13.8">
      <c r="B39" s="35" t="s">
        <v>715</v>
      </c>
      <c r="C39" s="322"/>
      <c r="D39" s="322"/>
      <c r="E39" s="322"/>
      <c r="F39" s="322"/>
      <c r="G39" s="322"/>
      <c r="H39" s="322"/>
      <c r="I39" s="322"/>
    </row>
    <row r="40" spans="2:9">
      <c r="B40" s="34"/>
      <c r="C40" s="34" t="s">
        <v>716</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33"/>
      <c r="E50" s="1533"/>
      <c r="F50" s="1533"/>
      <c r="G50" s="38" t="s">
        <v>147</v>
      </c>
      <c r="H50" s="1533"/>
      <c r="I50" s="1533"/>
    </row>
    <row r="51" spans="1:9">
      <c r="A51" s="322"/>
      <c r="B51" s="36"/>
      <c r="C51" s="36"/>
      <c r="D51" s="322"/>
      <c r="E51" s="322"/>
      <c r="F51" s="322"/>
      <c r="G51" s="322"/>
      <c r="H51" s="322"/>
      <c r="I51" s="322"/>
    </row>
    <row r="52" spans="1:9" ht="13.8">
      <c r="A52" s="322"/>
      <c r="B52" s="1507" t="s">
        <v>259</v>
      </c>
      <c r="C52" s="1507"/>
      <c r="D52" s="1507"/>
      <c r="E52" s="1507"/>
      <c r="F52" s="1507"/>
      <c r="G52" s="1507"/>
      <c r="H52" s="1507"/>
      <c r="I52" s="1507"/>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5" bottom="0.5" header="0.25" footer="0.25"/>
  <pageSetup paperSize="5"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89">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INPUTS'!D57)&amp;"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944"/>
      <c r="C4" s="1944"/>
      <c r="D4" s="1945"/>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153"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311">
        <f>+'52.2-Utility6'!E27</f>
        <v>0</v>
      </c>
      <c r="F9" s="1311">
        <f>+'52.2-Utility6'!F27</f>
        <v>0</v>
      </c>
      <c r="G9" s="1311">
        <f>+'52.2-Utility6'!G27</f>
        <v>0</v>
      </c>
      <c r="H9" s="1311">
        <f>+'52.2-Utility6'!H27</f>
        <v>0</v>
      </c>
      <c r="I9" s="1311">
        <f>+'52.2-Utility6'!I27</f>
        <v>0</v>
      </c>
      <c r="J9" s="1311">
        <f>+'52.2-Utility6'!J27</f>
        <v>0</v>
      </c>
      <c r="K9" s="1311">
        <f>+'52.2-Utility6'!K27</f>
        <v>0</v>
      </c>
      <c r="L9" s="1442">
        <f>+'52.2-Utility6'!L27</f>
        <v>0</v>
      </c>
      <c r="O9" s="322"/>
      <c r="P9" s="322"/>
      <c r="Q9" s="322"/>
      <c r="R9" s="322"/>
      <c r="S9" s="322"/>
      <c r="T9" s="322"/>
      <c r="U9" s="322"/>
    </row>
    <row r="10" spans="2:21" ht="21" customHeight="1">
      <c r="B10" s="706"/>
      <c r="C10" s="648"/>
      <c r="D10" s="652"/>
      <c r="E10" s="601"/>
      <c r="F10" s="601"/>
      <c r="G10" s="601"/>
      <c r="H10" s="601"/>
      <c r="I10" s="601"/>
      <c r="J10" s="601"/>
      <c r="K10" s="602"/>
      <c r="L10" s="602"/>
      <c r="O10" s="377"/>
      <c r="P10" s="322"/>
      <c r="Q10" s="322"/>
      <c r="R10" s="322"/>
      <c r="S10" s="322"/>
      <c r="T10" s="322"/>
      <c r="U10" s="322"/>
    </row>
    <row r="11" spans="2:21" ht="21" customHeight="1">
      <c r="B11" s="807"/>
      <c r="C11" s="648"/>
      <c r="D11" s="652"/>
      <c r="E11" s="601"/>
      <c r="F11" s="601"/>
      <c r="G11" s="601"/>
      <c r="H11" s="601"/>
      <c r="I11" s="601"/>
      <c r="J11" s="601"/>
      <c r="K11" s="602"/>
      <c r="L11" s="602"/>
      <c r="O11" s="322"/>
      <c r="P11" s="322"/>
      <c r="Q11" s="322"/>
      <c r="R11" s="322"/>
      <c r="S11" s="322"/>
      <c r="T11" s="322"/>
      <c r="U11" s="322"/>
    </row>
    <row r="12" spans="2:21" ht="21" customHeight="1">
      <c r="B12" s="807"/>
      <c r="C12" s="648"/>
      <c r="D12" s="652"/>
      <c r="E12" s="601"/>
      <c r="F12" s="601"/>
      <c r="G12" s="601"/>
      <c r="H12" s="601"/>
      <c r="I12" s="374"/>
      <c r="J12" s="601"/>
      <c r="K12" s="602"/>
      <c r="L12" s="602"/>
      <c r="O12" s="322"/>
      <c r="P12" s="322"/>
      <c r="Q12" s="322"/>
      <c r="R12" s="322"/>
      <c r="S12" s="322"/>
      <c r="T12" s="322"/>
      <c r="U12" s="322"/>
    </row>
    <row r="13" spans="2:21" ht="21" customHeight="1">
      <c r="B13" s="807"/>
      <c r="C13" s="648"/>
      <c r="D13" s="652"/>
      <c r="E13" s="601"/>
      <c r="F13" s="601"/>
      <c r="G13" s="601"/>
      <c r="H13" s="601"/>
      <c r="I13" s="601"/>
      <c r="J13" s="601"/>
      <c r="K13" s="602"/>
      <c r="L13" s="602"/>
      <c r="O13" s="322"/>
      <c r="P13" s="322"/>
      <c r="Q13" s="322"/>
      <c r="R13" s="322"/>
      <c r="S13" s="322"/>
      <c r="T13" s="322"/>
      <c r="U13" s="322"/>
    </row>
    <row r="14" spans="2:21" ht="21" customHeight="1">
      <c r="B14" s="706"/>
      <c r="C14" s="648"/>
      <c r="D14" s="652"/>
      <c r="E14" s="601"/>
      <c r="F14" s="601"/>
      <c r="G14" s="601"/>
      <c r="H14" s="601"/>
      <c r="I14" s="601"/>
      <c r="J14" s="601"/>
      <c r="K14" s="602"/>
      <c r="L14" s="602"/>
      <c r="O14" s="322"/>
      <c r="P14" s="322"/>
      <c r="Q14" s="322"/>
      <c r="R14" s="322"/>
      <c r="S14" s="322"/>
      <c r="T14" s="322"/>
      <c r="U14" s="322"/>
    </row>
    <row r="15" spans="2:21" ht="21" customHeight="1">
      <c r="B15" s="706"/>
      <c r="C15" s="648"/>
      <c r="D15" s="652"/>
      <c r="E15" s="601"/>
      <c r="F15" s="601"/>
      <c r="G15" s="601"/>
      <c r="H15" s="601"/>
      <c r="I15" s="601"/>
      <c r="J15" s="601"/>
      <c r="K15" s="602"/>
      <c r="L15" s="602"/>
      <c r="O15" s="322"/>
      <c r="P15" s="322"/>
      <c r="Q15" s="322"/>
      <c r="R15" s="322"/>
      <c r="S15" s="322"/>
      <c r="T15" s="322"/>
      <c r="U15" s="322"/>
    </row>
    <row r="16" spans="2:21" ht="21" customHeight="1">
      <c r="B16" s="706"/>
      <c r="C16" s="648"/>
      <c r="D16" s="652"/>
      <c r="E16" s="604"/>
      <c r="F16" s="604"/>
      <c r="G16" s="604"/>
      <c r="H16" s="604"/>
      <c r="I16" s="604"/>
      <c r="J16" s="604"/>
      <c r="K16" s="602"/>
      <c r="L16" s="602"/>
      <c r="O16" s="322"/>
      <c r="P16" s="322"/>
      <c r="Q16" s="322"/>
      <c r="R16" s="322"/>
      <c r="S16" s="322"/>
      <c r="T16" s="322"/>
      <c r="U16" s="322"/>
    </row>
    <row r="17" spans="1:21" ht="21" customHeight="1">
      <c r="A17" s="1793" t="s">
        <v>3655</v>
      </c>
      <c r="B17" s="706"/>
      <c r="C17" s="648"/>
      <c r="D17" s="652"/>
      <c r="E17" s="601"/>
      <c r="F17" s="601"/>
      <c r="G17" s="601"/>
      <c r="H17" s="601"/>
      <c r="I17" s="601"/>
      <c r="J17" s="601"/>
      <c r="K17" s="602"/>
      <c r="L17" s="602"/>
      <c r="O17" s="322"/>
      <c r="P17" s="322"/>
      <c r="Q17" s="322"/>
      <c r="R17" s="322"/>
      <c r="S17" s="322"/>
      <c r="T17" s="322"/>
      <c r="U17" s="322"/>
    </row>
    <row r="18" spans="1:21" ht="21" customHeight="1">
      <c r="A18" s="1793"/>
      <c r="B18" s="706"/>
      <c r="C18" s="648"/>
      <c r="D18" s="652"/>
      <c r="E18" s="601"/>
      <c r="F18" s="601"/>
      <c r="G18" s="601"/>
      <c r="H18" s="601"/>
      <c r="I18" s="601"/>
      <c r="J18" s="601"/>
      <c r="K18" s="602"/>
      <c r="L18" s="602"/>
      <c r="O18" s="322"/>
      <c r="P18" s="322"/>
      <c r="Q18" s="322"/>
      <c r="R18" s="322"/>
      <c r="S18" s="322"/>
      <c r="T18" s="322"/>
      <c r="U18" s="322"/>
    </row>
    <row r="19" spans="1:21" ht="21" customHeight="1">
      <c r="A19" s="1793"/>
      <c r="B19" s="706"/>
      <c r="C19" s="648"/>
      <c r="D19" s="652"/>
      <c r="E19" s="601"/>
      <c r="F19" s="601"/>
      <c r="G19" s="601"/>
      <c r="H19" s="601"/>
      <c r="I19" s="601"/>
      <c r="J19" s="601"/>
      <c r="K19" s="602"/>
      <c r="L19" s="602"/>
      <c r="O19" s="322"/>
      <c r="P19" s="322"/>
      <c r="Q19" s="322"/>
      <c r="R19" s="322"/>
      <c r="S19" s="322"/>
      <c r="T19" s="322"/>
      <c r="U19" s="322"/>
    </row>
    <row r="20" spans="1:21" ht="21" customHeight="1">
      <c r="A20" s="545"/>
      <c r="B20" s="706"/>
      <c r="C20" s="648"/>
      <c r="D20" s="652"/>
      <c r="E20" s="601"/>
      <c r="F20" s="601"/>
      <c r="G20" s="601"/>
      <c r="H20" s="601"/>
      <c r="I20" s="601"/>
      <c r="J20" s="601"/>
      <c r="K20" s="602"/>
      <c r="L20" s="602"/>
      <c r="O20" s="322"/>
      <c r="P20" s="322"/>
      <c r="Q20" s="322"/>
      <c r="R20" s="322"/>
      <c r="S20" s="322"/>
      <c r="T20" s="322"/>
      <c r="U20" s="322"/>
    </row>
    <row r="21" spans="1:21" ht="21" customHeight="1">
      <c r="A21" s="545"/>
      <c r="B21" s="706"/>
      <c r="C21" s="648"/>
      <c r="D21" s="652"/>
      <c r="E21" s="601"/>
      <c r="F21" s="601"/>
      <c r="G21" s="601"/>
      <c r="H21" s="601"/>
      <c r="I21" s="601"/>
      <c r="J21" s="601"/>
      <c r="K21" s="602"/>
      <c r="L21" s="602"/>
      <c r="O21" s="322"/>
      <c r="P21" s="322"/>
      <c r="Q21" s="322"/>
      <c r="R21" s="322"/>
      <c r="S21" s="322"/>
      <c r="T21" s="322"/>
      <c r="U21" s="322"/>
    </row>
    <row r="22" spans="1:21" ht="21" customHeight="1">
      <c r="A22" s="545"/>
      <c r="B22" s="706"/>
      <c r="C22" s="648"/>
      <c r="D22" s="652"/>
      <c r="E22" s="601"/>
      <c r="F22" s="601"/>
      <c r="G22" s="601"/>
      <c r="H22" s="601"/>
      <c r="I22" s="601"/>
      <c r="J22" s="601"/>
      <c r="K22" s="602"/>
      <c r="L22" s="602"/>
      <c r="O22" s="322"/>
      <c r="P22" s="322"/>
      <c r="Q22" s="322"/>
      <c r="R22" s="322"/>
      <c r="S22" s="322"/>
      <c r="T22" s="322"/>
      <c r="U22" s="322"/>
    </row>
    <row r="23" spans="1:21" ht="21" customHeight="1">
      <c r="B23" s="706"/>
      <c r="C23" s="648"/>
      <c r="D23" s="652"/>
      <c r="E23" s="601"/>
      <c r="F23" s="601"/>
      <c r="G23" s="601"/>
      <c r="H23" s="601"/>
      <c r="I23" s="601"/>
      <c r="J23" s="601"/>
      <c r="K23" s="602"/>
      <c r="L23" s="602"/>
      <c r="O23" s="322"/>
      <c r="P23" s="322"/>
      <c r="Q23" s="322"/>
      <c r="R23" s="322"/>
      <c r="S23" s="322"/>
      <c r="T23" s="322"/>
      <c r="U23" s="322"/>
    </row>
    <row r="24" spans="1:21" ht="21" customHeight="1">
      <c r="B24" s="706"/>
      <c r="C24" s="648"/>
      <c r="D24" s="652"/>
      <c r="E24" s="601"/>
      <c r="F24" s="601"/>
      <c r="G24" s="601"/>
      <c r="H24" s="601"/>
      <c r="I24" s="601"/>
      <c r="J24" s="601"/>
      <c r="K24" s="602"/>
      <c r="L24" s="602"/>
      <c r="O24" s="322"/>
      <c r="P24" s="322"/>
      <c r="Q24" s="322"/>
      <c r="R24" s="322"/>
      <c r="S24" s="322"/>
      <c r="T24" s="322"/>
      <c r="U24" s="322"/>
    </row>
    <row r="25" spans="1:21" ht="21" customHeight="1">
      <c r="B25" s="706"/>
      <c r="C25" s="648"/>
      <c r="D25" s="652"/>
      <c r="E25" s="601"/>
      <c r="F25" s="601"/>
      <c r="G25" s="601"/>
      <c r="H25" s="601"/>
      <c r="I25" s="601"/>
      <c r="J25" s="601"/>
      <c r="K25" s="602"/>
      <c r="L25" s="602"/>
    </row>
    <row r="26" spans="1:21" ht="21" customHeight="1" thickBot="1">
      <c r="B26" s="706"/>
      <c r="C26" s="648"/>
      <c r="D26" s="707"/>
      <c r="E26" s="627"/>
      <c r="F26" s="627"/>
      <c r="G26" s="627"/>
      <c r="H26" s="627"/>
      <c r="I26" s="627"/>
      <c r="J26" s="627"/>
      <c r="K26" s="627"/>
      <c r="L26" s="634"/>
    </row>
    <row r="27" spans="1:21" ht="21" customHeight="1" thickTop="1" thickBot="1">
      <c r="B27" s="1258"/>
      <c r="C27" s="1164"/>
      <c r="D27" s="1377" t="s">
        <v>3660</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440"/>
      <c r="C28" s="1166" t="s">
        <v>663</v>
      </c>
      <c r="D28" s="1441"/>
      <c r="E28" s="1148"/>
      <c r="F28" s="1148"/>
      <c r="G28" s="1148"/>
      <c r="H28" s="1148"/>
      <c r="I28" s="1148"/>
      <c r="J28" s="1148"/>
      <c r="K28" s="1371"/>
      <c r="L28" s="1371"/>
    </row>
    <row r="42" spans="11:12">
      <c r="K42" s="331" t="s">
        <v>3495</v>
      </c>
      <c r="L42" s="553">
        <f>K27+L27</f>
        <v>0</v>
      </c>
    </row>
  </sheetData>
  <sheetProtection algorithmName="SHA-512" hashValue="Y8iaQvR3LELZWmpJRzJ+By/nhZ3XoeVwg1BQIMeZySVbrvyVKRdF8DVv3bpnqMIWyEg22XKUqvg9aYOB2C6y1w==" saltValue="oaDCJfNzkHSRwJd02KFx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0">
    <tabColor theme="3" tint="0.79998168889431442"/>
  </sheetPr>
  <dimension ref="A1:U42"/>
  <sheetViews>
    <sheetView zoomScaleNormal="100" zoomScaleSheetLayoutView="80" workbookViewId="0">
      <selection activeCell="B1" sqref="B1"/>
    </sheetView>
  </sheetViews>
  <sheetFormatPr defaultColWidth="9.109375" defaultRowHeight="13.2"/>
  <cols>
    <col min="1" max="2" width="5.6640625" style="331" customWidth="1"/>
    <col min="3" max="3" width="4.88671875" style="331" customWidth="1"/>
    <col min="4" max="4" width="30.6640625" style="331" customWidth="1"/>
    <col min="5" max="12" width="15.6640625" style="331" customWidth="1"/>
    <col min="13" max="16384" width="9.109375" style="331"/>
  </cols>
  <sheetData>
    <row r="1" spans="2:21" ht="8.25" customHeight="1"/>
    <row r="2" spans="2:21" ht="20.399999999999999">
      <c r="B2" s="1789" t="str">
        <f>"SCHEDULE  OF  IMPROVEMENT  AUTHORIZATIONS  "&amp;UPPER('KEY INPUTS'!D57)&amp;"  (UTILITY  CAPITAL  FUND)"</f>
        <v>SCHEDULE  OF  IMPROVEMENT  AUTHORIZATIONS    (UTILITY  CAPITAL  FUND)</v>
      </c>
      <c r="C2" s="1789"/>
      <c r="D2" s="1789"/>
      <c r="E2" s="1789"/>
      <c r="F2" s="1789"/>
      <c r="G2" s="1789"/>
      <c r="H2" s="1789"/>
      <c r="I2" s="1789"/>
      <c r="J2" s="1789"/>
      <c r="K2" s="1789"/>
      <c r="L2" s="1789"/>
    </row>
    <row r="3" spans="2:21" ht="9.75" customHeight="1" thickBot="1">
      <c r="B3" s="1871"/>
      <c r="C3" s="1871"/>
      <c r="D3" s="1871"/>
      <c r="E3" s="1871"/>
      <c r="F3" s="1871"/>
      <c r="G3" s="1871"/>
      <c r="H3" s="1871"/>
      <c r="I3" s="1871"/>
      <c r="J3" s="1871"/>
      <c r="K3" s="1871"/>
      <c r="L3" s="1871"/>
    </row>
    <row r="4" spans="2:21" ht="13.5" customHeight="1" thickTop="1">
      <c r="B4" s="1944"/>
      <c r="C4" s="1944"/>
      <c r="D4" s="1945"/>
      <c r="E4" s="1897" t="str">
        <f>'KEY INPUTS'!D25</f>
        <v>Balance - January 1, 2019</v>
      </c>
      <c r="F4" s="1898"/>
      <c r="G4" s="1145"/>
      <c r="H4" s="1145"/>
      <c r="I4" s="1145"/>
      <c r="J4" s="1145"/>
      <c r="K4" s="1891" t="str">
        <f>'KEY INPUTS'!D26</f>
        <v>Balance - December 31, 2019</v>
      </c>
      <c r="L4" s="1892"/>
    </row>
    <row r="5" spans="2:21" ht="13.5" customHeight="1">
      <c r="B5" s="1788" t="s">
        <v>656</v>
      </c>
      <c r="C5" s="1788"/>
      <c r="D5" s="1872"/>
      <c r="E5" s="1899"/>
      <c r="F5" s="1900"/>
      <c r="G5" s="1153"/>
      <c r="H5" s="1153"/>
      <c r="I5" s="1153"/>
      <c r="J5" s="1153"/>
      <c r="K5" s="1893"/>
      <c r="L5" s="1894"/>
    </row>
    <row r="6" spans="2:21" ht="13.5" customHeight="1">
      <c r="B6" s="1788" t="s">
        <v>657</v>
      </c>
      <c r="C6" s="1788"/>
      <c r="D6" s="1872"/>
      <c r="E6" s="1901"/>
      <c r="F6" s="1902"/>
      <c r="G6" s="1153">
        <f>'KEY INPUTS'!D34</f>
        <v>2019</v>
      </c>
      <c r="H6" s="1153"/>
      <c r="I6" s="1153" t="s">
        <v>302</v>
      </c>
      <c r="J6" s="1153" t="s">
        <v>280</v>
      </c>
      <c r="K6" s="1895"/>
      <c r="L6" s="1896"/>
    </row>
    <row r="7" spans="2:21" ht="13.5" customHeight="1">
      <c r="B7" s="1788" t="s">
        <v>658</v>
      </c>
      <c r="C7" s="1788"/>
      <c r="D7" s="1872"/>
      <c r="E7" s="1149" t="s">
        <v>659</v>
      </c>
      <c r="F7" s="1149" t="s">
        <v>660</v>
      </c>
      <c r="G7" s="1149" t="s">
        <v>661</v>
      </c>
      <c r="H7" s="1149"/>
      <c r="I7" s="1149"/>
      <c r="J7" s="1149"/>
      <c r="K7" s="1149" t="s">
        <v>659</v>
      </c>
      <c r="L7" s="1151" t="s">
        <v>660</v>
      </c>
    </row>
    <row r="8" spans="2:21" ht="13.5" customHeight="1" thickBot="1">
      <c r="B8" s="1155"/>
      <c r="C8" s="1155"/>
      <c r="D8" s="1155"/>
      <c r="E8" s="1156"/>
      <c r="F8" s="1156"/>
      <c r="G8" s="1157"/>
      <c r="H8" s="1157"/>
      <c r="I8" s="1156"/>
      <c r="J8" s="1156"/>
      <c r="K8" s="1157"/>
      <c r="L8" s="1277"/>
      <c r="O8" s="322"/>
      <c r="P8" s="322"/>
      <c r="Q8" s="322"/>
      <c r="R8" s="322"/>
      <c r="S8" s="322"/>
      <c r="T8" s="322"/>
      <c r="U8" s="322"/>
    </row>
    <row r="9" spans="2:21" ht="21" customHeight="1" thickTop="1">
      <c r="B9" s="1212" t="s">
        <v>3547</v>
      </c>
      <c r="C9" s="1172"/>
      <c r="D9" s="1434"/>
      <c r="E9" s="1311">
        <f>+'52.3-Utility6'!E27</f>
        <v>0</v>
      </c>
      <c r="F9" s="1311">
        <f>+'52.3-Utility6'!F27</f>
        <v>0</v>
      </c>
      <c r="G9" s="1311">
        <f>+'52.3-Utility6'!G27</f>
        <v>0</v>
      </c>
      <c r="H9" s="1311">
        <f>+'52.3-Utility6'!H27</f>
        <v>0</v>
      </c>
      <c r="I9" s="1311">
        <f>+'52.3-Utility6'!I27</f>
        <v>0</v>
      </c>
      <c r="J9" s="1311">
        <f>+'52.3-Utility6'!J27</f>
        <v>0</v>
      </c>
      <c r="K9" s="1311">
        <f>+'52.3-Utility6'!K27</f>
        <v>0</v>
      </c>
      <c r="L9" s="1442">
        <f>+'52.3-Utility6'!L27</f>
        <v>0</v>
      </c>
      <c r="O9" s="322"/>
      <c r="P9" s="322"/>
      <c r="Q9" s="322"/>
      <c r="R9" s="322"/>
      <c r="S9" s="322"/>
      <c r="T9" s="322"/>
      <c r="U9" s="322"/>
    </row>
    <row r="10" spans="2:21" ht="21" customHeight="1">
      <c r="B10" s="1443"/>
      <c r="C10" s="1444"/>
      <c r="D10" s="1445"/>
      <c r="E10" s="1446"/>
      <c r="F10" s="1446"/>
      <c r="G10" s="1446"/>
      <c r="H10" s="1446"/>
      <c r="I10" s="1446"/>
      <c r="J10" s="1446"/>
      <c r="K10" s="1447"/>
      <c r="L10" s="1447"/>
      <c r="O10" s="377"/>
      <c r="P10" s="322"/>
      <c r="Q10" s="322"/>
      <c r="R10" s="322"/>
      <c r="S10" s="322"/>
      <c r="T10" s="322"/>
      <c r="U10" s="322"/>
    </row>
    <row r="11" spans="2:21" ht="21" customHeight="1">
      <c r="B11" s="1448"/>
      <c r="C11" s="1444"/>
      <c r="D11" s="1445"/>
      <c r="E11" s="1446"/>
      <c r="F11" s="1446"/>
      <c r="G11" s="1446"/>
      <c r="H11" s="1446"/>
      <c r="I11" s="1446"/>
      <c r="J11" s="1446"/>
      <c r="K11" s="1447"/>
      <c r="L11" s="1447"/>
      <c r="O11" s="322"/>
      <c r="P11" s="322"/>
      <c r="Q11" s="322"/>
      <c r="R11" s="322"/>
      <c r="S11" s="322"/>
      <c r="T11" s="322"/>
      <c r="U11" s="322"/>
    </row>
    <row r="12" spans="2:21" ht="21" customHeight="1">
      <c r="B12" s="1448"/>
      <c r="C12" s="1444"/>
      <c r="D12" s="1445"/>
      <c r="E12" s="1446"/>
      <c r="F12" s="1446"/>
      <c r="G12" s="1446"/>
      <c r="H12" s="1446"/>
      <c r="I12" s="1449"/>
      <c r="J12" s="1446"/>
      <c r="K12" s="1447"/>
      <c r="L12" s="1447"/>
      <c r="O12" s="322"/>
      <c r="P12" s="322"/>
      <c r="Q12" s="322"/>
      <c r="R12" s="322"/>
      <c r="S12" s="322"/>
      <c r="T12" s="322"/>
      <c r="U12" s="322"/>
    </row>
    <row r="13" spans="2:21" ht="21" customHeight="1">
      <c r="B13" s="1448"/>
      <c r="C13" s="1444"/>
      <c r="D13" s="1445"/>
      <c r="E13" s="1446"/>
      <c r="F13" s="1446"/>
      <c r="G13" s="1446"/>
      <c r="H13" s="1446"/>
      <c r="I13" s="1446"/>
      <c r="J13" s="1446"/>
      <c r="K13" s="1447"/>
      <c r="L13" s="1447"/>
      <c r="O13" s="322"/>
      <c r="P13" s="322"/>
      <c r="Q13" s="322"/>
      <c r="R13" s="322"/>
      <c r="S13" s="322"/>
      <c r="T13" s="322"/>
      <c r="U13" s="322"/>
    </row>
    <row r="14" spans="2:21" ht="21" customHeight="1">
      <c r="B14" s="1443"/>
      <c r="C14" s="1444"/>
      <c r="D14" s="1445"/>
      <c r="E14" s="1446"/>
      <c r="F14" s="1446"/>
      <c r="G14" s="1446"/>
      <c r="H14" s="1446"/>
      <c r="I14" s="1446"/>
      <c r="J14" s="1446"/>
      <c r="K14" s="1447"/>
      <c r="L14" s="1447"/>
      <c r="O14" s="322"/>
      <c r="P14" s="322"/>
      <c r="Q14" s="322"/>
      <c r="R14" s="322"/>
      <c r="S14" s="322"/>
      <c r="T14" s="322"/>
      <c r="U14" s="322"/>
    </row>
    <row r="15" spans="2:21" ht="21" customHeight="1">
      <c r="B15" s="1443"/>
      <c r="C15" s="1444"/>
      <c r="D15" s="1445"/>
      <c r="E15" s="1446"/>
      <c r="F15" s="1446"/>
      <c r="G15" s="1446"/>
      <c r="H15" s="1446"/>
      <c r="I15" s="1446"/>
      <c r="J15" s="1446"/>
      <c r="K15" s="1447"/>
      <c r="L15" s="1447"/>
      <c r="O15" s="322"/>
      <c r="P15" s="322"/>
      <c r="Q15" s="322"/>
      <c r="R15" s="322"/>
      <c r="S15" s="322"/>
      <c r="T15" s="322"/>
      <c r="U15" s="322"/>
    </row>
    <row r="16" spans="2:21" ht="21" customHeight="1">
      <c r="B16" s="1443"/>
      <c r="C16" s="1444"/>
      <c r="D16" s="1445"/>
      <c r="E16" s="1450"/>
      <c r="F16" s="1450"/>
      <c r="G16" s="1450"/>
      <c r="H16" s="1450"/>
      <c r="I16" s="1450"/>
      <c r="J16" s="1450"/>
      <c r="K16" s="1447"/>
      <c r="L16" s="1447"/>
      <c r="O16" s="322"/>
      <c r="P16" s="322"/>
      <c r="Q16" s="322"/>
      <c r="R16" s="322"/>
      <c r="S16" s="322"/>
      <c r="T16" s="322"/>
      <c r="U16" s="322"/>
    </row>
    <row r="17" spans="1:21" ht="21" customHeight="1">
      <c r="A17" s="1793" t="s">
        <v>3658</v>
      </c>
      <c r="B17" s="1443"/>
      <c r="C17" s="1444"/>
      <c r="D17" s="1445"/>
      <c r="E17" s="1446"/>
      <c r="F17" s="1446"/>
      <c r="G17" s="1446"/>
      <c r="H17" s="1446"/>
      <c r="I17" s="1446"/>
      <c r="J17" s="1446"/>
      <c r="K17" s="1447"/>
      <c r="L17" s="1447"/>
      <c r="O17" s="322"/>
      <c r="P17" s="322"/>
      <c r="Q17" s="322"/>
      <c r="R17" s="322"/>
      <c r="S17" s="322"/>
      <c r="T17" s="322"/>
      <c r="U17" s="322"/>
    </row>
    <row r="18" spans="1:21" ht="21" customHeight="1">
      <c r="A18" s="1793"/>
      <c r="B18" s="1443"/>
      <c r="C18" s="1444"/>
      <c r="D18" s="1445"/>
      <c r="E18" s="1446"/>
      <c r="F18" s="1446"/>
      <c r="G18" s="1446"/>
      <c r="H18" s="1446"/>
      <c r="I18" s="1446"/>
      <c r="J18" s="1446"/>
      <c r="K18" s="1447"/>
      <c r="L18" s="1447"/>
      <c r="O18" s="322"/>
      <c r="P18" s="322"/>
      <c r="Q18" s="322"/>
      <c r="R18" s="322"/>
      <c r="S18" s="322"/>
      <c r="T18" s="322"/>
      <c r="U18" s="322"/>
    </row>
    <row r="19" spans="1:21" ht="21" customHeight="1">
      <c r="A19" s="1793"/>
      <c r="B19" s="1443"/>
      <c r="C19" s="1444"/>
      <c r="D19" s="1445"/>
      <c r="E19" s="1446"/>
      <c r="F19" s="1446"/>
      <c r="G19" s="1446"/>
      <c r="H19" s="1446"/>
      <c r="I19" s="1446"/>
      <c r="J19" s="1446"/>
      <c r="K19" s="1447"/>
      <c r="L19" s="1447"/>
      <c r="O19" s="322"/>
      <c r="P19" s="322"/>
      <c r="Q19" s="322"/>
      <c r="R19" s="322"/>
      <c r="S19" s="322"/>
      <c r="T19" s="322"/>
      <c r="U19" s="322"/>
    </row>
    <row r="20" spans="1:21" ht="21" customHeight="1">
      <c r="A20" s="545"/>
      <c r="B20" s="1443"/>
      <c r="C20" s="1444"/>
      <c r="D20" s="1445"/>
      <c r="E20" s="1446"/>
      <c r="F20" s="1446"/>
      <c r="G20" s="1446"/>
      <c r="H20" s="1446"/>
      <c r="I20" s="1446"/>
      <c r="J20" s="1446"/>
      <c r="K20" s="1447"/>
      <c r="L20" s="1447"/>
      <c r="O20" s="322"/>
      <c r="P20" s="322"/>
      <c r="Q20" s="322"/>
      <c r="R20" s="322"/>
      <c r="S20" s="322"/>
      <c r="T20" s="322"/>
      <c r="U20" s="322"/>
    </row>
    <row r="21" spans="1:21" ht="21" customHeight="1">
      <c r="A21" s="545"/>
      <c r="B21" s="1443"/>
      <c r="C21" s="1444"/>
      <c r="D21" s="1445"/>
      <c r="E21" s="1446"/>
      <c r="F21" s="1446"/>
      <c r="G21" s="1446"/>
      <c r="H21" s="1446"/>
      <c r="I21" s="1446"/>
      <c r="J21" s="1446"/>
      <c r="K21" s="1447"/>
      <c r="L21" s="1447"/>
      <c r="O21" s="322"/>
      <c r="P21" s="322"/>
      <c r="Q21" s="322"/>
      <c r="R21" s="322"/>
      <c r="S21" s="322"/>
      <c r="T21" s="322"/>
      <c r="U21" s="322"/>
    </row>
    <row r="22" spans="1:21" ht="21" customHeight="1">
      <c r="A22" s="545"/>
      <c r="B22" s="1443"/>
      <c r="C22" s="1444"/>
      <c r="D22" s="1445"/>
      <c r="E22" s="1446"/>
      <c r="F22" s="1446"/>
      <c r="G22" s="1446"/>
      <c r="H22" s="1446"/>
      <c r="I22" s="1446"/>
      <c r="J22" s="1446"/>
      <c r="K22" s="1447"/>
      <c r="L22" s="1447"/>
      <c r="O22" s="322"/>
      <c r="P22" s="322"/>
      <c r="Q22" s="322"/>
      <c r="R22" s="322"/>
      <c r="S22" s="322"/>
      <c r="T22" s="322"/>
      <c r="U22" s="322"/>
    </row>
    <row r="23" spans="1:21" ht="21" customHeight="1">
      <c r="B23" s="1443"/>
      <c r="C23" s="1444"/>
      <c r="D23" s="1445"/>
      <c r="E23" s="1446"/>
      <c r="F23" s="1446"/>
      <c r="G23" s="1446"/>
      <c r="H23" s="1446"/>
      <c r="I23" s="1446"/>
      <c r="J23" s="1446"/>
      <c r="K23" s="1447"/>
      <c r="L23" s="1447"/>
      <c r="O23" s="322"/>
      <c r="P23" s="322"/>
      <c r="Q23" s="322"/>
      <c r="R23" s="322"/>
      <c r="S23" s="322"/>
      <c r="T23" s="322"/>
      <c r="U23" s="322"/>
    </row>
    <row r="24" spans="1:21" ht="21" customHeight="1">
      <c r="B24" s="1443"/>
      <c r="C24" s="1444"/>
      <c r="D24" s="1445"/>
      <c r="E24" s="1446"/>
      <c r="F24" s="1446"/>
      <c r="G24" s="1446"/>
      <c r="H24" s="1446"/>
      <c r="I24" s="1446"/>
      <c r="J24" s="1446"/>
      <c r="K24" s="1447"/>
      <c r="L24" s="1447"/>
      <c r="O24" s="322"/>
      <c r="P24" s="322"/>
      <c r="Q24" s="322"/>
      <c r="R24" s="322"/>
      <c r="S24" s="322"/>
      <c r="T24" s="322"/>
      <c r="U24" s="322"/>
    </row>
    <row r="25" spans="1:21" ht="21" customHeight="1">
      <c r="B25" s="1443"/>
      <c r="C25" s="1444"/>
      <c r="D25" s="1445"/>
      <c r="E25" s="1446"/>
      <c r="F25" s="1446"/>
      <c r="G25" s="1446"/>
      <c r="H25" s="1446"/>
      <c r="I25" s="1446"/>
      <c r="J25" s="1446"/>
      <c r="K25" s="1447"/>
      <c r="L25" s="1447"/>
    </row>
    <row r="26" spans="1:21" ht="21" customHeight="1" thickBot="1">
      <c r="B26" s="1443"/>
      <c r="C26" s="1444"/>
      <c r="D26" s="1451"/>
      <c r="E26" s="1452"/>
      <c r="F26" s="1452"/>
      <c r="G26" s="1452"/>
      <c r="H26" s="1452"/>
      <c r="I26" s="1452"/>
      <c r="J26" s="1452"/>
      <c r="K26" s="1452"/>
      <c r="L26" s="1453"/>
    </row>
    <row r="27" spans="1:21" ht="21" customHeight="1" thickTop="1" thickBot="1">
      <c r="B27" s="1258"/>
      <c r="C27" s="1164"/>
      <c r="D27" s="1377" t="s">
        <v>3661</v>
      </c>
      <c r="E27" s="1085">
        <f t="shared" ref="E27:L27" si="0">SUM(E9:E26)</f>
        <v>0</v>
      </c>
      <c r="F27" s="1085">
        <f t="shared" si="0"/>
        <v>0</v>
      </c>
      <c r="G27" s="1085">
        <f t="shared" si="0"/>
        <v>0</v>
      </c>
      <c r="H27" s="1085">
        <f t="shared" si="0"/>
        <v>0</v>
      </c>
      <c r="I27" s="1085">
        <f t="shared" si="0"/>
        <v>0</v>
      </c>
      <c r="J27" s="1085">
        <f t="shared" si="0"/>
        <v>0</v>
      </c>
      <c r="K27" s="1085">
        <f t="shared" si="0"/>
        <v>0</v>
      </c>
      <c r="L27" s="1163">
        <f t="shared" si="0"/>
        <v>0</v>
      </c>
    </row>
    <row r="28" spans="1:21" ht="13.5" customHeight="1" thickTop="1">
      <c r="B28" s="1440"/>
      <c r="C28" s="1166" t="s">
        <v>663</v>
      </c>
      <c r="D28" s="1441"/>
      <c r="E28" s="1148"/>
      <c r="F28" s="1148"/>
      <c r="G28" s="1148"/>
      <c r="H28" s="1148"/>
      <c r="I28" s="1148"/>
      <c r="J28" s="1148"/>
      <c r="K28" s="1371"/>
      <c r="L28" s="1371"/>
    </row>
    <row r="42" spans="11:12">
      <c r="K42" s="331" t="s">
        <v>3495</v>
      </c>
      <c r="L42" s="553">
        <f>K27+L27</f>
        <v>0</v>
      </c>
    </row>
  </sheetData>
  <sheetProtection algorithmName="SHA-512" hashValue="WipHVGxNUc2C3D1eySEuFTS05V65+FA0rt8VrNLJixQIBHarfU0NEVPKe8i9ch1zP4+srzqq7xeqRTNrPNHQsQ==" saltValue="1m3U5JpBvTN9s+zrAsqMT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1">
    <tabColor theme="3" tint="0.79998168889431442"/>
  </sheetPr>
  <dimension ref="B3:S54"/>
  <sheetViews>
    <sheetView zoomScaleNormal="100" zoomScaleSheetLayoutView="80" workbookViewId="0">
      <selection activeCell="B1" sqref="B1"/>
    </sheetView>
  </sheetViews>
  <sheetFormatPr defaultColWidth="9.109375" defaultRowHeight="13.2"/>
  <cols>
    <col min="1" max="3" width="4.6640625" style="331" customWidth="1"/>
    <col min="4" max="4" width="4.5546875" style="331" customWidth="1"/>
    <col min="5" max="6" width="9.109375" style="331"/>
    <col min="7" max="7" width="14.44140625" style="331" customWidth="1"/>
    <col min="8" max="8" width="15" style="331" customWidth="1"/>
    <col min="9" max="10" width="16.6640625" style="331" customWidth="1"/>
    <col min="11" max="16384" width="9.109375" style="331"/>
  </cols>
  <sheetData>
    <row r="3" spans="2:19" ht="22.8">
      <c r="B3" s="1760" t="str">
        <f>UPPER('KEY INPUTS'!D$57)&amp;" UTILITY  CAPITAL  FUND"</f>
        <v xml:space="preserve"> UTILITY  CAPITAL  FUND</v>
      </c>
      <c r="C3" s="1760"/>
      <c r="D3" s="1760"/>
      <c r="E3" s="1760"/>
      <c r="F3" s="1760"/>
      <c r="G3" s="1760"/>
      <c r="H3" s="1760"/>
      <c r="I3" s="1760"/>
      <c r="J3" s="1760"/>
    </row>
    <row r="4" spans="2:19">
      <c r="B4" s="1148"/>
      <c r="C4" s="1148"/>
      <c r="D4" s="1148"/>
      <c r="E4" s="1148"/>
      <c r="F4" s="1148"/>
      <c r="G4" s="1148"/>
      <c r="H4" s="1148"/>
      <c r="I4" s="1148"/>
      <c r="J4" s="1148"/>
    </row>
    <row r="5" spans="2:19" ht="15.6">
      <c r="B5" s="1784" t="s">
        <v>668</v>
      </c>
      <c r="C5" s="1784"/>
      <c r="D5" s="1784"/>
      <c r="E5" s="1784"/>
      <c r="F5" s="1784"/>
      <c r="G5" s="1784"/>
      <c r="H5" s="1784"/>
      <c r="I5" s="1784"/>
      <c r="J5" s="1784"/>
    </row>
    <row r="6" spans="2:19" ht="13.8" thickBot="1">
      <c r="B6" s="1148"/>
      <c r="C6" s="1148"/>
      <c r="D6" s="1148"/>
      <c r="E6" s="1148"/>
      <c r="F6" s="1148"/>
      <c r="G6" s="1148"/>
      <c r="H6" s="1148"/>
      <c r="I6" s="1148"/>
      <c r="J6" s="1148"/>
    </row>
    <row r="7" spans="2:19" ht="28.5" customHeight="1" thickTop="1" thickBot="1">
      <c r="B7" s="1390"/>
      <c r="C7" s="1390"/>
      <c r="D7" s="1390"/>
      <c r="E7" s="1390"/>
      <c r="F7" s="1390"/>
      <c r="G7" s="1390"/>
      <c r="H7" s="1390"/>
      <c r="I7" s="1136" t="s">
        <v>125</v>
      </c>
      <c r="J7" s="1137" t="s">
        <v>126</v>
      </c>
    </row>
    <row r="8" spans="2:19" ht="21" customHeight="1" thickTop="1">
      <c r="B8" s="1160" t="str">
        <f>'KEY INPUTS'!D25</f>
        <v>Balance - January 1, 2019</v>
      </c>
      <c r="C8" s="1160"/>
      <c r="D8" s="1160"/>
      <c r="E8" s="1160"/>
      <c r="F8" s="1160"/>
      <c r="G8" s="1160"/>
      <c r="H8" s="1402"/>
      <c r="I8" s="1090" t="s">
        <v>788</v>
      </c>
      <c r="J8" s="639"/>
    </row>
    <row r="9" spans="2:19" ht="21" customHeight="1">
      <c r="B9" s="1141" t="str">
        <f>"Received from "&amp;'KEY INPUTS'!D34&amp;" Budget Appropriation"</f>
        <v>Received from 2019 Budget Appropriation</v>
      </c>
      <c r="C9" s="1141"/>
      <c r="D9" s="1141"/>
      <c r="E9" s="1141"/>
      <c r="F9" s="1141"/>
      <c r="G9" s="1141"/>
      <c r="H9" s="1403"/>
      <c r="I9" s="975" t="s">
        <v>788</v>
      </c>
      <c r="J9" s="609"/>
      <c r="M9" s="322"/>
      <c r="N9" s="322"/>
      <c r="O9" s="322"/>
      <c r="P9" s="322"/>
      <c r="Q9" s="322"/>
      <c r="R9" s="322"/>
      <c r="S9" s="322"/>
    </row>
    <row r="10" spans="2:19" ht="21" customHeight="1">
      <c r="B10" s="648"/>
      <c r="C10" s="648"/>
      <c r="D10" s="648"/>
      <c r="E10" s="648"/>
      <c r="F10" s="648"/>
      <c r="G10" s="648"/>
      <c r="H10" s="648"/>
      <c r="I10" s="975" t="s">
        <v>788</v>
      </c>
      <c r="J10" s="609"/>
      <c r="M10" s="322"/>
      <c r="N10" s="322"/>
      <c r="O10" s="322"/>
      <c r="P10" s="322"/>
      <c r="Q10" s="322"/>
      <c r="R10" s="322"/>
      <c r="S10" s="322"/>
    </row>
    <row r="11" spans="2:19" ht="11.25" customHeight="1">
      <c r="B11" s="1404" t="s">
        <v>224</v>
      </c>
      <c r="C11" s="1405"/>
      <c r="D11" s="1405"/>
      <c r="E11" s="1405"/>
      <c r="F11" s="1405"/>
      <c r="G11" s="1405"/>
      <c r="H11" s="1406"/>
      <c r="I11" s="1907" t="s">
        <v>788</v>
      </c>
      <c r="J11" s="1905"/>
      <c r="M11" s="377"/>
      <c r="N11" s="322"/>
      <c r="O11" s="322"/>
      <c r="P11" s="322"/>
      <c r="Q11" s="322"/>
      <c r="R11" s="322"/>
      <c r="S11" s="322"/>
    </row>
    <row r="12" spans="2:19" ht="12.75" customHeight="1">
      <c r="B12" s="1393"/>
      <c r="C12" s="1407" t="s">
        <v>225</v>
      </c>
      <c r="D12" s="1393"/>
      <c r="E12" s="1393"/>
      <c r="F12" s="1393"/>
      <c r="G12" s="1393"/>
      <c r="H12" s="1408"/>
      <c r="I12" s="1908"/>
      <c r="J12" s="1906"/>
      <c r="M12" s="322"/>
      <c r="N12" s="322"/>
      <c r="O12" s="322"/>
      <c r="P12" s="322"/>
      <c r="Q12" s="322"/>
      <c r="R12" s="322"/>
      <c r="S12" s="322"/>
    </row>
    <row r="13" spans="2:19" ht="21" customHeight="1">
      <c r="B13" s="669"/>
      <c r="C13" s="1284"/>
      <c r="D13" s="669"/>
      <c r="E13" s="669"/>
      <c r="F13" s="669"/>
      <c r="G13" s="669"/>
      <c r="H13" s="669"/>
      <c r="I13" s="684"/>
      <c r="J13" s="376"/>
      <c r="M13" s="322"/>
      <c r="N13" s="322"/>
      <c r="O13" s="322"/>
      <c r="P13" s="322"/>
      <c r="Q13" s="322"/>
      <c r="R13" s="322"/>
      <c r="S13" s="322"/>
    </row>
    <row r="14" spans="2:19" ht="21" customHeight="1">
      <c r="B14" s="1141" t="s">
        <v>226</v>
      </c>
      <c r="C14" s="1141"/>
      <c r="D14" s="1141"/>
      <c r="E14" s="1141"/>
      <c r="F14" s="1141"/>
      <c r="G14" s="1141"/>
      <c r="H14" s="1141"/>
      <c r="I14" s="975" t="s">
        <v>788</v>
      </c>
      <c r="J14" s="979" t="s">
        <v>788</v>
      </c>
      <c r="M14" s="322"/>
      <c r="N14" s="322"/>
      <c r="O14" s="322"/>
      <c r="P14" s="322"/>
      <c r="Q14" s="322"/>
      <c r="R14" s="322"/>
      <c r="S14" s="322"/>
    </row>
    <row r="15" spans="2:19" ht="21" customHeight="1">
      <c r="B15" s="648"/>
      <c r="C15" s="648"/>
      <c r="D15" s="648"/>
      <c r="E15" s="648"/>
      <c r="F15" s="648"/>
      <c r="G15" s="648"/>
      <c r="H15" s="648"/>
      <c r="I15" s="601"/>
      <c r="J15" s="979" t="s">
        <v>788</v>
      </c>
      <c r="M15" s="322"/>
      <c r="N15" s="322"/>
      <c r="O15" s="322"/>
      <c r="P15" s="322"/>
      <c r="Q15" s="322"/>
      <c r="R15" s="322"/>
      <c r="S15" s="322"/>
    </row>
    <row r="16" spans="2:19" ht="21" customHeight="1">
      <c r="B16" s="648"/>
      <c r="C16" s="648"/>
      <c r="D16" s="648"/>
      <c r="E16" s="648"/>
      <c r="F16" s="648"/>
      <c r="G16" s="648"/>
      <c r="H16" s="648"/>
      <c r="I16" s="601"/>
      <c r="J16" s="979" t="s">
        <v>788</v>
      </c>
      <c r="M16" s="322"/>
      <c r="N16" s="322"/>
      <c r="O16" s="322"/>
      <c r="P16" s="322"/>
      <c r="Q16" s="322"/>
      <c r="R16" s="322"/>
      <c r="S16" s="322"/>
    </row>
    <row r="17" spans="2:19" ht="21" customHeight="1">
      <c r="B17" s="648"/>
      <c r="C17" s="648"/>
      <c r="D17" s="648"/>
      <c r="E17" s="648"/>
      <c r="F17" s="648"/>
      <c r="G17" s="648"/>
      <c r="H17" s="648"/>
      <c r="I17" s="601"/>
      <c r="J17" s="979" t="s">
        <v>788</v>
      </c>
      <c r="M17" s="322"/>
      <c r="N17" s="322"/>
      <c r="O17" s="322"/>
      <c r="P17" s="322"/>
      <c r="Q17" s="322"/>
      <c r="R17" s="322"/>
      <c r="S17" s="322"/>
    </row>
    <row r="18" spans="2:19" ht="21" customHeight="1">
      <c r="B18" s="648"/>
      <c r="C18" s="648"/>
      <c r="D18" s="648"/>
      <c r="E18" s="648"/>
      <c r="F18" s="648"/>
      <c r="G18" s="648"/>
      <c r="H18" s="648"/>
      <c r="I18" s="601"/>
      <c r="J18" s="979" t="s">
        <v>788</v>
      </c>
      <c r="M18" s="322"/>
      <c r="N18" s="322"/>
      <c r="O18" s="322"/>
      <c r="P18" s="322"/>
      <c r="Q18" s="322"/>
      <c r="R18" s="322"/>
      <c r="S18" s="322"/>
    </row>
    <row r="19" spans="2:19" ht="21" customHeight="1">
      <c r="B19" s="648"/>
      <c r="C19" s="648"/>
      <c r="D19" s="648"/>
      <c r="E19" s="648"/>
      <c r="F19" s="648"/>
      <c r="G19" s="648"/>
      <c r="H19" s="648"/>
      <c r="I19" s="601"/>
      <c r="J19" s="979" t="s">
        <v>788</v>
      </c>
      <c r="M19" s="322"/>
      <c r="N19" s="322"/>
      <c r="O19" s="322"/>
      <c r="P19" s="322"/>
      <c r="Q19" s="322"/>
      <c r="R19" s="322"/>
      <c r="S19" s="322"/>
    </row>
    <row r="20" spans="2:19" ht="21" customHeight="1">
      <c r="B20" s="648"/>
      <c r="C20" s="648"/>
      <c r="D20" s="648"/>
      <c r="E20" s="648"/>
      <c r="F20" s="648"/>
      <c r="G20" s="648"/>
      <c r="H20" s="648"/>
      <c r="I20" s="601"/>
      <c r="J20" s="979" t="s">
        <v>788</v>
      </c>
      <c r="M20" s="322"/>
      <c r="N20" s="322"/>
      <c r="O20" s="322"/>
      <c r="P20" s="322"/>
      <c r="Q20" s="322"/>
      <c r="R20" s="322"/>
      <c r="S20" s="322"/>
    </row>
    <row r="21" spans="2:19" ht="21" customHeight="1">
      <c r="B21" s="648"/>
      <c r="C21" s="648"/>
      <c r="D21" s="648"/>
      <c r="E21" s="648"/>
      <c r="F21" s="648"/>
      <c r="G21" s="648"/>
      <c r="H21" s="648"/>
      <c r="I21" s="601"/>
      <c r="J21" s="979" t="s">
        <v>788</v>
      </c>
      <c r="M21" s="322"/>
      <c r="N21" s="322"/>
      <c r="O21" s="322"/>
      <c r="P21" s="322"/>
      <c r="Q21" s="322"/>
      <c r="R21" s="322"/>
      <c r="S21" s="322"/>
    </row>
    <row r="22" spans="2:19" ht="21" customHeight="1">
      <c r="B22" s="1141" t="s">
        <v>229</v>
      </c>
      <c r="C22" s="1141"/>
      <c r="D22" s="1141"/>
      <c r="E22" s="1141"/>
      <c r="F22" s="1141"/>
      <c r="G22" s="1141"/>
      <c r="H22" s="1403"/>
      <c r="I22" s="601"/>
      <c r="J22" s="979" t="s">
        <v>788</v>
      </c>
      <c r="M22" s="322"/>
      <c r="N22" s="322"/>
      <c r="O22" s="322"/>
      <c r="P22" s="322"/>
      <c r="Q22" s="322"/>
      <c r="R22" s="322"/>
      <c r="S22" s="322"/>
    </row>
    <row r="23" spans="2:19" ht="21" customHeight="1">
      <c r="B23" s="648"/>
      <c r="C23" s="648"/>
      <c r="D23" s="648"/>
      <c r="E23" s="648"/>
      <c r="F23" s="648"/>
      <c r="G23" s="648"/>
      <c r="H23" s="648"/>
      <c r="I23" s="601"/>
      <c r="J23" s="979" t="s">
        <v>788</v>
      </c>
      <c r="M23" s="322"/>
      <c r="N23" s="322"/>
      <c r="O23" s="322"/>
      <c r="P23" s="322"/>
      <c r="Q23" s="322"/>
      <c r="R23" s="322"/>
      <c r="S23" s="322"/>
    </row>
    <row r="24" spans="2:19" ht="21" customHeight="1" thickBot="1">
      <c r="B24" s="1141" t="str">
        <f>'KEY INPUTS'!D26</f>
        <v>Balance - December 31, 2019</v>
      </c>
      <c r="C24" s="1141"/>
      <c r="D24" s="1141"/>
      <c r="E24" s="1141"/>
      <c r="F24" s="1141"/>
      <c r="G24" s="1141"/>
      <c r="H24" s="1403"/>
      <c r="I24" s="1108">
        <f>+SUM(J8:J13)-SUM(I13:I23)</f>
        <v>0</v>
      </c>
      <c r="J24" s="1106" t="s">
        <v>788</v>
      </c>
      <c r="M24" s="322"/>
      <c r="N24" s="322"/>
      <c r="O24" s="322"/>
      <c r="P24" s="322"/>
      <c r="Q24" s="322"/>
      <c r="R24" s="322"/>
      <c r="S24" s="322"/>
    </row>
    <row r="25" spans="2:19" ht="21" customHeight="1" thickTop="1" thickBot="1">
      <c r="B25" s="1148"/>
      <c r="C25" s="1148"/>
      <c r="D25" s="1148"/>
      <c r="E25" s="1148"/>
      <c r="F25" s="1148"/>
      <c r="G25" s="1148"/>
      <c r="H25" s="1148"/>
      <c r="I25" s="1063">
        <f>SUM(I8:I24)</f>
        <v>0</v>
      </c>
      <c r="J25" s="1109">
        <f>SUM(J8:J24)</f>
        <v>0</v>
      </c>
      <c r="M25" s="322"/>
      <c r="N25" s="322"/>
      <c r="O25" s="322"/>
      <c r="P25" s="322"/>
      <c r="Q25" s="322"/>
      <c r="R25" s="322"/>
      <c r="S25" s="322"/>
    </row>
    <row r="26" spans="2:19" ht="13.8" thickTop="1"/>
    <row r="27" spans="2:19">
      <c r="B27" s="1148"/>
      <c r="C27" s="1148"/>
      <c r="D27" s="1148"/>
      <c r="E27" s="1148"/>
      <c r="F27" s="1148"/>
      <c r="G27" s="1148"/>
      <c r="H27" s="1148"/>
      <c r="I27" s="1148"/>
      <c r="J27" s="1148"/>
    </row>
    <row r="28" spans="2:19">
      <c r="B28" s="1148"/>
      <c r="C28" s="1148"/>
      <c r="D28" s="1148"/>
      <c r="E28" s="1148"/>
      <c r="F28" s="1148"/>
      <c r="G28" s="1148"/>
      <c r="H28" s="1148"/>
      <c r="I28" s="1148"/>
      <c r="J28" s="1148"/>
    </row>
    <row r="29" spans="2:19">
      <c r="B29" s="1148"/>
      <c r="C29" s="1148"/>
      <c r="D29" s="1148"/>
      <c r="E29" s="1148"/>
      <c r="F29" s="1148"/>
      <c r="G29" s="1148"/>
      <c r="H29" s="1148"/>
      <c r="I29" s="1148"/>
      <c r="J29" s="1148"/>
    </row>
    <row r="30" spans="2:19" ht="22.8">
      <c r="B30" s="1760" t="str">
        <f>UPPER('KEY INPUTS'!D$57)&amp;" UTILITY  CAPITAL  FUND"</f>
        <v xml:space="preserve"> UTILITY  CAPITAL  FUND</v>
      </c>
      <c r="C30" s="1760"/>
      <c r="D30" s="1760"/>
      <c r="E30" s="1760"/>
      <c r="F30" s="1760"/>
      <c r="G30" s="1760"/>
      <c r="H30" s="1760"/>
      <c r="I30" s="1760"/>
      <c r="J30" s="1760"/>
    </row>
    <row r="31" spans="2:19" ht="7.5" customHeight="1">
      <c r="B31" s="1148"/>
      <c r="C31" s="1148"/>
      <c r="D31" s="1148"/>
      <c r="E31" s="1148"/>
      <c r="F31" s="1148"/>
      <c r="G31" s="1148"/>
      <c r="H31" s="1148"/>
      <c r="I31" s="1148"/>
      <c r="J31" s="1148"/>
    </row>
    <row r="32" spans="2:19" ht="15.6">
      <c r="B32" s="1784" t="s">
        <v>234</v>
      </c>
      <c r="C32" s="1784"/>
      <c r="D32" s="1784"/>
      <c r="E32" s="1784"/>
      <c r="F32" s="1784"/>
      <c r="G32" s="1784"/>
      <c r="H32" s="1784"/>
      <c r="I32" s="1784"/>
      <c r="J32" s="1784"/>
    </row>
    <row r="33" spans="2:10" ht="13.8" thickBot="1">
      <c r="B33" s="1148"/>
      <c r="C33" s="1148"/>
      <c r="D33" s="1148"/>
      <c r="E33" s="1148"/>
      <c r="F33" s="1148"/>
      <c r="G33" s="1148"/>
      <c r="H33" s="1148"/>
      <c r="I33" s="1148"/>
      <c r="J33" s="1148"/>
    </row>
    <row r="34" spans="2:10" ht="26.25" customHeight="1" thickTop="1" thickBot="1">
      <c r="B34" s="1390"/>
      <c r="C34" s="1390"/>
      <c r="D34" s="1390"/>
      <c r="E34" s="1390"/>
      <c r="F34" s="1390"/>
      <c r="G34" s="1390"/>
      <c r="H34" s="1390"/>
      <c r="I34" s="1136" t="s">
        <v>125</v>
      </c>
      <c r="J34" s="1137" t="s">
        <v>126</v>
      </c>
    </row>
    <row r="35" spans="2:10" ht="21" customHeight="1" thickTop="1">
      <c r="B35" s="1160" t="str">
        <f>'KEY INPUTS'!D25</f>
        <v>Balance - January 1, 2019</v>
      </c>
      <c r="C35" s="1160"/>
      <c r="D35" s="1160"/>
      <c r="E35" s="1160"/>
      <c r="F35" s="1160"/>
      <c r="G35" s="1160"/>
      <c r="H35" s="1402"/>
      <c r="I35" s="1090" t="s">
        <v>788</v>
      </c>
      <c r="J35" s="639"/>
    </row>
    <row r="36" spans="2:10" ht="21" customHeight="1">
      <c r="B36" s="1141" t="str">
        <f>"Received from "&amp;TEXT('KEY INPUTS'!D34,"0")&amp;" Budget Appropriation *"</f>
        <v>Received from 2019 Budget Appropriation *</v>
      </c>
      <c r="C36" s="1141"/>
      <c r="D36" s="1141"/>
      <c r="E36" s="1141"/>
      <c r="F36" s="1141"/>
      <c r="G36" s="1141"/>
      <c r="H36" s="1403"/>
      <c r="I36" s="975" t="s">
        <v>788</v>
      </c>
      <c r="J36" s="609"/>
    </row>
    <row r="37" spans="2:10" ht="21" customHeight="1">
      <c r="B37" s="1141" t="str">
        <f>"Received from "&amp;TEXT('KEY INPUTS'!D34,"0")&amp;" Emergency Appropriation *"</f>
        <v>Received from 2019 Emergency Appropriation *</v>
      </c>
      <c r="C37" s="1141"/>
      <c r="D37" s="1141"/>
      <c r="E37" s="1141"/>
      <c r="F37" s="1141"/>
      <c r="G37" s="1141"/>
      <c r="H37" s="1403"/>
      <c r="I37" s="975" t="s">
        <v>788</v>
      </c>
      <c r="J37" s="609"/>
    </row>
    <row r="38" spans="2:10" ht="21" customHeight="1">
      <c r="B38" s="669"/>
      <c r="C38" s="1284"/>
      <c r="D38" s="669"/>
      <c r="E38" s="1393"/>
      <c r="F38" s="1393"/>
      <c r="G38" s="1393"/>
      <c r="H38" s="1393"/>
      <c r="I38" s="684"/>
      <c r="J38" s="376"/>
    </row>
    <row r="39" spans="2:10" ht="21" customHeight="1">
      <c r="B39" s="1141" t="s">
        <v>229</v>
      </c>
      <c r="C39" s="1141"/>
      <c r="D39" s="1141"/>
      <c r="E39" s="1141"/>
      <c r="F39" s="1141"/>
      <c r="G39" s="1141"/>
      <c r="H39" s="1403"/>
      <c r="I39" s="601"/>
      <c r="J39" s="979" t="s">
        <v>788</v>
      </c>
    </row>
    <row r="40" spans="2:10" ht="21" customHeight="1">
      <c r="B40" s="648"/>
      <c r="C40" s="648"/>
      <c r="D40" s="648"/>
      <c r="E40" s="1141"/>
      <c r="F40" s="1141"/>
      <c r="G40" s="1141"/>
      <c r="H40" s="1141"/>
      <c r="I40" s="601"/>
      <c r="J40" s="979" t="s">
        <v>788</v>
      </c>
    </row>
    <row r="41" spans="2:10" ht="21" customHeight="1" thickBot="1">
      <c r="B41" s="1141" t="str">
        <f>'KEY INPUTS'!D26</f>
        <v>Balance - December 31, 2019</v>
      </c>
      <c r="C41" s="1141"/>
      <c r="D41" s="1141"/>
      <c r="E41" s="1141"/>
      <c r="F41" s="1141"/>
      <c r="G41" s="1141"/>
      <c r="H41" s="1403"/>
      <c r="I41" s="1285">
        <f>SUM(J35:J38)-SUM(I38:I40)</f>
        <v>0</v>
      </c>
      <c r="J41" s="1106" t="s">
        <v>788</v>
      </c>
    </row>
    <row r="42" spans="2:10" ht="21" customHeight="1" thickTop="1" thickBot="1">
      <c r="B42" s="1148"/>
      <c r="C42" s="1148"/>
      <c r="D42" s="1148"/>
      <c r="E42" s="1148"/>
      <c r="F42" s="1148"/>
      <c r="G42" s="1148"/>
      <c r="H42" s="1148"/>
      <c r="I42" s="1063">
        <f>SUM(I35:I41)</f>
        <v>0</v>
      </c>
      <c r="J42" s="1109">
        <f>SUM(J35:J41)</f>
        <v>0</v>
      </c>
    </row>
    <row r="43" spans="2:10" ht="21" customHeight="1" thickTop="1">
      <c r="B43" s="1148"/>
      <c r="C43" s="1148"/>
      <c r="D43" s="1148"/>
      <c r="E43" s="1148"/>
      <c r="F43" s="1148"/>
      <c r="G43" s="1148"/>
      <c r="H43" s="1148"/>
      <c r="I43" s="1454"/>
      <c r="J43" s="1454"/>
    </row>
    <row r="44" spans="2:10" ht="21" customHeight="1">
      <c r="B44" s="1148"/>
      <c r="C44" s="1148"/>
      <c r="D44" s="1148"/>
      <c r="E44" s="1148"/>
      <c r="F44" s="1148"/>
      <c r="G44" s="1148"/>
      <c r="H44" s="1148"/>
      <c r="I44" s="1148"/>
      <c r="J44" s="1148"/>
    </row>
    <row r="45" spans="2:10" ht="13.5" customHeight="1">
      <c r="B45" s="1424" t="str">
        <f>"*The full amount of the "&amp;TEXT('KEY INPUTS'!D34,"0")&amp;"  budget appropriation should be transferred to this account unless the balance of the"</f>
        <v>*The full amount of the 2019  budget appropriation should be transferred to this account unless the balance of the</v>
      </c>
      <c r="C45" s="1424"/>
      <c r="D45" s="1148"/>
      <c r="E45" s="1148"/>
      <c r="F45" s="1148"/>
      <c r="G45" s="1148"/>
      <c r="H45" s="1148"/>
      <c r="I45" s="1148"/>
      <c r="J45" s="1148"/>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3.8">
      <c r="B54" s="1813" t="s">
        <v>3453</v>
      </c>
      <c r="C54" s="1813"/>
      <c r="D54" s="1813"/>
      <c r="E54" s="1813"/>
      <c r="F54" s="1813"/>
      <c r="G54" s="1813"/>
      <c r="H54" s="1813"/>
      <c r="I54" s="1813"/>
      <c r="J54" s="1813"/>
    </row>
  </sheetData>
  <sheetProtection algorithmName="SHA-512" hashValue="VgGR3gHB6WIoBsVA1AjE85qBXCzCLxyyU+Z3SW2DfG177B5fLFlVIvsLjflQ/9VNcVkSeLFY4ZRdkVs5R/l+tA==" saltValue="/12f1DLBpbLn9bQ+ZjP1U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2">
    <tabColor theme="3" tint="0.79998168889431442"/>
  </sheetPr>
  <dimension ref="B1:AC52"/>
  <sheetViews>
    <sheetView zoomScaleNormal="100" zoomScaleSheetLayoutView="80" workbookViewId="0">
      <selection activeCell="B1" sqref="B1"/>
    </sheetView>
  </sheetViews>
  <sheetFormatPr defaultColWidth="8.88671875" defaultRowHeight="13.2"/>
  <cols>
    <col min="1" max="3" width="4.6640625" style="331" customWidth="1"/>
    <col min="4" max="4" width="4.5546875" style="331" customWidth="1"/>
    <col min="5" max="5" width="8.88671875" style="331"/>
    <col min="6" max="6" width="6.6640625" style="331" customWidth="1"/>
    <col min="7" max="10" width="16.6640625" style="331" customWidth="1"/>
    <col min="11" max="20" width="8.88671875" style="331"/>
    <col min="21" max="23" width="4.6640625" style="322" customWidth="1"/>
    <col min="24" max="24" width="8.88671875" style="322"/>
    <col min="25" max="25" width="6.6640625" style="322" customWidth="1"/>
    <col min="26" max="29" width="16.6640625" style="322" customWidth="1"/>
    <col min="30" max="16384" width="8.88671875" style="331"/>
  </cols>
  <sheetData>
    <row r="1" spans="2:19">
      <c r="B1" s="1148"/>
      <c r="C1" s="1148"/>
      <c r="D1" s="1424"/>
      <c r="E1" s="1424"/>
      <c r="F1" s="1148"/>
      <c r="G1" s="1148"/>
      <c r="H1" s="1148"/>
      <c r="I1" s="1148"/>
      <c r="J1" s="1148"/>
    </row>
    <row r="2" spans="2:19">
      <c r="B2" s="1148"/>
      <c r="C2" s="1148"/>
      <c r="D2" s="1424"/>
      <c r="E2" s="1424"/>
      <c r="F2" s="1148"/>
      <c r="G2" s="1148"/>
      <c r="H2" s="1148"/>
      <c r="I2" s="1148"/>
      <c r="J2" s="1148"/>
    </row>
    <row r="3" spans="2:19" ht="24.6">
      <c r="B3" s="1950" t="str">
        <f>UPPER('KEY INPUTS'!D$57)&amp;" UTILITY FUND"</f>
        <v xml:space="preserve"> UTILITY FUND</v>
      </c>
      <c r="C3" s="1950"/>
      <c r="D3" s="1950"/>
      <c r="E3" s="1950"/>
      <c r="F3" s="1950"/>
      <c r="G3" s="1950"/>
      <c r="H3" s="1950"/>
      <c r="I3" s="1950"/>
      <c r="J3" s="1950"/>
    </row>
    <row r="4" spans="2:19">
      <c r="B4" s="1148"/>
      <c r="C4" s="1148"/>
      <c r="D4" s="1148"/>
      <c r="E4" s="1148"/>
      <c r="F4" s="1148"/>
      <c r="G4" s="1148"/>
      <c r="H4" s="1148"/>
      <c r="I4" s="1148"/>
      <c r="J4" s="1148"/>
    </row>
    <row r="5" spans="2:19" ht="17.399999999999999">
      <c r="B5" s="1972" t="str">
        <f>"CAPITAL  IMPROVEMENTS  AUTHORIZED  IN "&amp;TEXT('KEY INPUTS'!D34,"0")&amp;""</f>
        <v>CAPITAL  IMPROVEMENTS  AUTHORIZED  IN 2019</v>
      </c>
      <c r="C5" s="1972"/>
      <c r="D5" s="1972"/>
      <c r="E5" s="1972"/>
      <c r="F5" s="1972"/>
      <c r="G5" s="1972"/>
      <c r="H5" s="1972"/>
      <c r="I5" s="1972"/>
      <c r="J5" s="1972"/>
    </row>
    <row r="6" spans="2:19" ht="17.399999999999999">
      <c r="B6" s="1972" t="s">
        <v>261</v>
      </c>
      <c r="C6" s="1972"/>
      <c r="D6" s="1972"/>
      <c r="E6" s="1972"/>
      <c r="F6" s="1972"/>
      <c r="G6" s="1972"/>
      <c r="H6" s="1972"/>
      <c r="I6" s="1972"/>
      <c r="J6" s="1972"/>
    </row>
    <row r="7" spans="2:19" ht="13.8" thickBot="1">
      <c r="B7" s="1148"/>
      <c r="C7" s="1148"/>
      <c r="D7" s="1148"/>
      <c r="E7" s="1148"/>
      <c r="F7" s="1148"/>
      <c r="G7" s="1148"/>
      <c r="H7" s="1148"/>
      <c r="I7" s="1148"/>
      <c r="J7" s="1148"/>
    </row>
    <row r="8" spans="2:19" ht="13.8" thickTop="1">
      <c r="B8" s="1144"/>
      <c r="C8" s="1144"/>
      <c r="D8" s="1144"/>
      <c r="E8" s="1144"/>
      <c r="F8" s="1144"/>
      <c r="G8" s="1145"/>
      <c r="H8" s="1145"/>
      <c r="I8" s="1145"/>
      <c r="J8" s="1425" t="s">
        <v>307</v>
      </c>
    </row>
    <row r="9" spans="2:19">
      <c r="B9" s="1148"/>
      <c r="C9" s="1788" t="s">
        <v>532</v>
      </c>
      <c r="D9" s="1788"/>
      <c r="E9" s="1788"/>
      <c r="F9" s="1148"/>
      <c r="G9" s="1149" t="s">
        <v>533</v>
      </c>
      <c r="H9" s="1149" t="s">
        <v>260</v>
      </c>
      <c r="I9" s="1149" t="s">
        <v>265</v>
      </c>
      <c r="J9" s="1143" t="s">
        <v>308</v>
      </c>
    </row>
    <row r="10" spans="2:19">
      <c r="B10" s="1148"/>
      <c r="C10" s="1148"/>
      <c r="D10" s="1148"/>
      <c r="E10" s="1148"/>
      <c r="F10" s="1148"/>
      <c r="G10" s="1149" t="s">
        <v>263</v>
      </c>
      <c r="H10" s="1149" t="s">
        <v>264</v>
      </c>
      <c r="I10" s="1149" t="s">
        <v>266</v>
      </c>
      <c r="J10" s="1143" t="str">
        <f>"of " &amp;TEXT('KEY INPUTS'!D34,"0")&amp;" or Prior"</f>
        <v>of 2019 or Prior</v>
      </c>
    </row>
    <row r="11" spans="2:19" ht="13.8" thickBot="1">
      <c r="B11" s="1155"/>
      <c r="C11" s="1155"/>
      <c r="D11" s="1155"/>
      <c r="E11" s="1155"/>
      <c r="F11" s="1155"/>
      <c r="G11" s="1157"/>
      <c r="H11" s="1157" t="s">
        <v>560</v>
      </c>
      <c r="I11" s="1157" t="s">
        <v>306</v>
      </c>
      <c r="J11" s="1426"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8"/>
      <c r="C13" s="648"/>
      <c r="D13" s="648"/>
      <c r="E13" s="648"/>
      <c r="F13" s="648"/>
      <c r="G13" s="601"/>
      <c r="H13" s="601"/>
      <c r="I13" s="601"/>
      <c r="J13" s="609"/>
      <c r="M13" s="377"/>
      <c r="N13" s="322"/>
      <c r="O13" s="322"/>
      <c r="P13" s="322"/>
      <c r="Q13" s="322"/>
      <c r="R13" s="322"/>
      <c r="S13" s="322"/>
    </row>
    <row r="14" spans="2:19" ht="21" customHeight="1">
      <c r="B14" s="648"/>
      <c r="C14" s="648"/>
      <c r="D14" s="648"/>
      <c r="E14" s="648"/>
      <c r="F14" s="648"/>
      <c r="G14" s="601"/>
      <c r="H14" s="601"/>
      <c r="I14" s="601"/>
      <c r="J14" s="609"/>
      <c r="M14" s="322"/>
      <c r="N14" s="322"/>
      <c r="O14" s="322"/>
      <c r="P14" s="322"/>
      <c r="Q14" s="322"/>
      <c r="R14" s="322"/>
      <c r="S14" s="322"/>
    </row>
    <row r="15" spans="2:19" ht="21" customHeight="1">
      <c r="B15" s="648"/>
      <c r="C15" s="648"/>
      <c r="D15" s="648"/>
      <c r="E15" s="648"/>
      <c r="F15" s="648"/>
      <c r="G15" s="601"/>
      <c r="H15" s="601"/>
      <c r="I15" s="601"/>
      <c r="J15" s="609"/>
      <c r="M15" s="322"/>
      <c r="N15" s="322"/>
      <c r="O15" s="322"/>
      <c r="P15" s="322"/>
      <c r="Q15" s="322"/>
      <c r="R15" s="322"/>
      <c r="S15" s="322"/>
    </row>
    <row r="16" spans="2:19" ht="21" customHeight="1">
      <c r="B16" s="648"/>
      <c r="C16" s="648"/>
      <c r="D16" s="648"/>
      <c r="E16" s="648"/>
      <c r="F16" s="648"/>
      <c r="G16" s="601"/>
      <c r="H16" s="601"/>
      <c r="I16" s="601"/>
      <c r="J16" s="609"/>
      <c r="M16" s="322"/>
      <c r="N16" s="322"/>
      <c r="O16" s="322"/>
      <c r="P16" s="322"/>
      <c r="Q16" s="322"/>
      <c r="R16" s="322"/>
      <c r="S16" s="322"/>
    </row>
    <row r="17" spans="2:19" ht="21" customHeight="1">
      <c r="B17" s="648"/>
      <c r="C17" s="648"/>
      <c r="D17" s="648"/>
      <c r="E17" s="648"/>
      <c r="F17" s="648"/>
      <c r="G17" s="601"/>
      <c r="H17" s="601"/>
      <c r="I17" s="601"/>
      <c r="J17" s="609"/>
      <c r="M17" s="322"/>
      <c r="N17" s="322"/>
      <c r="O17" s="322"/>
      <c r="P17" s="322"/>
      <c r="Q17" s="322"/>
      <c r="R17" s="322"/>
      <c r="S17" s="322"/>
    </row>
    <row r="18" spans="2:19" ht="21" customHeight="1">
      <c r="B18" s="648"/>
      <c r="C18" s="648"/>
      <c r="D18" s="648"/>
      <c r="E18" s="648"/>
      <c r="F18" s="648"/>
      <c r="G18" s="601"/>
      <c r="H18" s="601"/>
      <c r="I18" s="601"/>
      <c r="J18" s="609"/>
      <c r="M18" s="322"/>
      <c r="N18" s="322"/>
      <c r="O18" s="322"/>
      <c r="P18" s="322"/>
      <c r="Q18" s="322"/>
      <c r="R18" s="322"/>
      <c r="S18" s="322"/>
    </row>
    <row r="19" spans="2:19" ht="21" customHeight="1">
      <c r="B19" s="648"/>
      <c r="C19" s="648"/>
      <c r="D19" s="648"/>
      <c r="E19" s="648"/>
      <c r="F19" s="648"/>
      <c r="G19" s="601"/>
      <c r="H19" s="601"/>
      <c r="I19" s="601"/>
      <c r="J19" s="609"/>
      <c r="M19" s="322"/>
      <c r="N19" s="322"/>
      <c r="O19" s="322"/>
      <c r="P19" s="322"/>
      <c r="Q19" s="322"/>
      <c r="R19" s="322"/>
      <c r="S19" s="322"/>
    </row>
    <row r="20" spans="2:19" ht="21" customHeight="1">
      <c r="B20" s="648"/>
      <c r="C20" s="648"/>
      <c r="D20" s="648"/>
      <c r="E20" s="648"/>
      <c r="F20" s="648"/>
      <c r="G20" s="601"/>
      <c r="H20" s="601"/>
      <c r="I20" s="601"/>
      <c r="J20" s="609"/>
      <c r="M20" s="322"/>
      <c r="N20" s="322"/>
      <c r="O20" s="322"/>
      <c r="P20" s="322"/>
      <c r="Q20" s="322"/>
      <c r="R20" s="322"/>
      <c r="S20" s="322"/>
    </row>
    <row r="21" spans="2:19" ht="21" customHeight="1" thickBot="1">
      <c r="B21" s="648"/>
      <c r="C21" s="648"/>
      <c r="D21" s="648"/>
      <c r="E21" s="648"/>
      <c r="F21" s="648"/>
      <c r="G21" s="627"/>
      <c r="H21" s="627"/>
      <c r="I21" s="627"/>
      <c r="J21" s="672"/>
      <c r="M21" s="322"/>
      <c r="N21" s="322"/>
      <c r="O21" s="322"/>
      <c r="P21" s="322"/>
      <c r="Q21" s="322"/>
      <c r="R21" s="322"/>
      <c r="S21" s="322"/>
    </row>
    <row r="22" spans="2:19" ht="21" customHeight="1" thickTop="1" thickBot="1">
      <c r="B22" s="1155"/>
      <c r="C22" s="1155"/>
      <c r="D22" s="1155"/>
      <c r="E22" s="1155"/>
      <c r="F22" s="1155"/>
      <c r="G22" s="1085">
        <f>SUM(G12:G21)</f>
        <v>0</v>
      </c>
      <c r="H22" s="1085">
        <f>SUM(H12:H21)</f>
        <v>0</v>
      </c>
      <c r="I22" s="1085">
        <f>SUM(I12:I21)</f>
        <v>0</v>
      </c>
      <c r="J22" s="1061">
        <f>SUM(J12:J21)</f>
        <v>0</v>
      </c>
      <c r="M22" s="322"/>
      <c r="N22" s="322"/>
      <c r="O22" s="322"/>
      <c r="P22" s="322"/>
      <c r="Q22" s="322"/>
      <c r="R22" s="322"/>
      <c r="S22" s="322"/>
    </row>
    <row r="23" spans="2:19" ht="13.8" thickTop="1">
      <c r="B23" s="1148"/>
      <c r="C23" s="1148"/>
      <c r="D23" s="1148"/>
      <c r="E23" s="1148"/>
      <c r="F23" s="1148"/>
      <c r="G23" s="1148"/>
      <c r="H23" s="1148"/>
      <c r="I23" s="1148"/>
      <c r="J23" s="1148"/>
      <c r="M23" s="322"/>
      <c r="N23" s="322"/>
      <c r="O23" s="322"/>
      <c r="P23" s="322"/>
      <c r="Q23" s="322"/>
      <c r="R23" s="322"/>
      <c r="S23" s="322"/>
    </row>
    <row r="24" spans="2:19">
      <c r="B24" s="1148"/>
      <c r="C24" s="1148"/>
      <c r="D24" s="1148"/>
      <c r="E24" s="1148"/>
      <c r="F24" s="1148"/>
      <c r="G24" s="1148"/>
      <c r="H24" s="1148"/>
      <c r="I24" s="1148"/>
      <c r="J24" s="1148"/>
      <c r="M24" s="322"/>
      <c r="N24" s="322"/>
      <c r="O24" s="322"/>
      <c r="P24" s="322"/>
      <c r="Q24" s="322"/>
      <c r="R24" s="322"/>
      <c r="S24" s="322"/>
    </row>
    <row r="25" spans="2:19">
      <c r="B25" s="1148"/>
      <c r="C25" s="1148"/>
      <c r="D25" s="1148"/>
      <c r="E25" s="1148"/>
      <c r="F25" s="1148"/>
      <c r="G25" s="1148"/>
      <c r="H25" s="1148"/>
      <c r="I25" s="1148"/>
      <c r="J25" s="1148"/>
      <c r="M25" s="322"/>
      <c r="N25" s="322"/>
      <c r="O25" s="322"/>
      <c r="P25" s="322"/>
      <c r="Q25" s="322"/>
      <c r="R25" s="322"/>
      <c r="S25" s="322"/>
    </row>
    <row r="26" spans="2:19">
      <c r="B26" s="1148"/>
      <c r="C26" s="1148"/>
      <c r="D26" s="1148"/>
      <c r="E26" s="1148"/>
      <c r="F26" s="1148"/>
      <c r="G26" s="1148"/>
      <c r="H26" s="1148"/>
      <c r="I26" s="1148"/>
      <c r="J26" s="1148"/>
      <c r="M26" s="322"/>
      <c r="N26" s="322"/>
      <c r="O26" s="322"/>
      <c r="P26" s="322"/>
      <c r="Q26" s="322"/>
      <c r="R26" s="322"/>
      <c r="S26" s="322"/>
    </row>
    <row r="27" spans="2:19">
      <c r="B27" s="1148"/>
      <c r="C27" s="1148"/>
      <c r="D27" s="1148"/>
      <c r="E27" s="1148"/>
      <c r="F27" s="1148"/>
      <c r="G27" s="1148"/>
      <c r="H27" s="1148"/>
      <c r="I27" s="1148"/>
      <c r="J27" s="1148"/>
      <c r="M27" s="322"/>
      <c r="N27" s="322"/>
      <c r="O27" s="322"/>
      <c r="P27" s="322"/>
      <c r="Q27" s="322"/>
      <c r="R27" s="322"/>
      <c r="S27" s="322"/>
    </row>
    <row r="28" spans="2:19" ht="22.8">
      <c r="B28" s="1760" t="str">
        <f>UPPER('KEY INPUTS'!D$57)&amp;" UTILITY  CAPITAL  FUND"</f>
        <v xml:space="preserve"> UTILITY  CAPITAL  FUND</v>
      </c>
      <c r="C28" s="1760"/>
      <c r="D28" s="1760"/>
      <c r="E28" s="1760"/>
      <c r="F28" s="1760"/>
      <c r="G28" s="1760"/>
      <c r="H28" s="1760"/>
      <c r="I28" s="1760"/>
      <c r="J28" s="1760"/>
    </row>
    <row r="29" spans="2:19" ht="22.8">
      <c r="B29" s="1783" t="s">
        <v>193</v>
      </c>
      <c r="C29" s="1783"/>
      <c r="D29" s="1783"/>
      <c r="E29" s="1783"/>
      <c r="F29" s="1783"/>
      <c r="G29" s="1783"/>
      <c r="H29" s="1783"/>
      <c r="I29" s="1783"/>
      <c r="J29" s="1783"/>
    </row>
    <row r="30" spans="2:19">
      <c r="B30" s="1148"/>
      <c r="C30" s="1148"/>
      <c r="D30" s="1148"/>
      <c r="E30" s="1148"/>
      <c r="F30" s="1148"/>
      <c r="G30" s="1148"/>
      <c r="H30" s="1148"/>
      <c r="I30" s="1148"/>
      <c r="J30" s="1148"/>
    </row>
    <row r="31" spans="2:19" ht="15.6">
      <c r="B31" s="1971" t="str">
        <f>"YEAR  "&amp;TEXT('KEY INPUTS'!D34,"0")&amp;""</f>
        <v>YEAR  2019</v>
      </c>
      <c r="C31" s="1971"/>
      <c r="D31" s="1971"/>
      <c r="E31" s="1971"/>
      <c r="F31" s="1971"/>
      <c r="G31" s="1971"/>
      <c r="H31" s="1971"/>
      <c r="I31" s="1971"/>
      <c r="J31" s="1971"/>
    </row>
    <row r="32" spans="2:19" ht="13.8" thickBot="1">
      <c r="B32" s="1148"/>
      <c r="C32" s="1148"/>
      <c r="D32" s="1148"/>
      <c r="E32" s="1148"/>
      <c r="F32" s="1148"/>
      <c r="G32" s="1148"/>
      <c r="H32" s="1148"/>
      <c r="I32" s="1148"/>
      <c r="J32" s="1148"/>
    </row>
    <row r="33" spans="2:10" ht="28.5" customHeight="1" thickTop="1" thickBot="1">
      <c r="B33" s="1390"/>
      <c r="C33" s="1390"/>
      <c r="D33" s="1390"/>
      <c r="E33" s="1390"/>
      <c r="F33" s="1390"/>
      <c r="G33" s="1390"/>
      <c r="H33" s="1390"/>
      <c r="I33" s="1136" t="s">
        <v>125</v>
      </c>
      <c r="J33" s="1137" t="s">
        <v>126</v>
      </c>
    </row>
    <row r="34" spans="2:10" ht="21" customHeight="1" thickTop="1">
      <c r="B34" s="1427" t="str">
        <f>'KEY INPUTS'!D25</f>
        <v>Balance - January 1, 2019</v>
      </c>
      <c r="C34" s="1160"/>
      <c r="D34" s="1160"/>
      <c r="E34" s="1160"/>
      <c r="F34" s="1160"/>
      <c r="G34" s="1160"/>
      <c r="H34" s="1160"/>
      <c r="I34" s="1090" t="s">
        <v>788</v>
      </c>
      <c r="J34" s="638"/>
    </row>
    <row r="35" spans="2:10" ht="21" customHeight="1">
      <c r="B35" s="1141" t="s">
        <v>195</v>
      </c>
      <c r="C35" s="1141"/>
      <c r="D35" s="1141"/>
      <c r="E35" s="1141"/>
      <c r="F35" s="1141"/>
      <c r="G35" s="1141"/>
      <c r="H35" s="1141"/>
      <c r="I35" s="975" t="s">
        <v>788</v>
      </c>
      <c r="J35" s="578"/>
    </row>
    <row r="36" spans="2:10" ht="21" customHeight="1">
      <c r="B36" s="1141" t="s">
        <v>196</v>
      </c>
      <c r="C36" s="1141"/>
      <c r="D36" s="1141"/>
      <c r="E36" s="1141"/>
      <c r="F36" s="1141"/>
      <c r="G36" s="1141"/>
      <c r="H36" s="1141"/>
      <c r="I36" s="975" t="s">
        <v>788</v>
      </c>
      <c r="J36" s="578"/>
    </row>
    <row r="37" spans="2:10" ht="21" customHeight="1">
      <c r="B37" s="648" t="s">
        <v>3496</v>
      </c>
      <c r="C37" s="648"/>
      <c r="D37" s="648"/>
      <c r="E37" s="1141"/>
      <c r="F37" s="1141"/>
      <c r="G37" s="1141"/>
      <c r="H37" s="1141"/>
      <c r="I37" s="1021"/>
      <c r="J37" s="578"/>
    </row>
    <row r="38" spans="2:10" ht="21" customHeight="1">
      <c r="B38" s="648"/>
      <c r="C38" s="648"/>
      <c r="D38" s="648"/>
      <c r="E38" s="648"/>
      <c r="F38" s="648"/>
      <c r="G38" s="648"/>
      <c r="H38" s="1141"/>
      <c r="I38" s="374"/>
      <c r="J38" s="578"/>
    </row>
    <row r="39" spans="2:10" ht="21" customHeight="1">
      <c r="B39" s="648"/>
      <c r="C39" s="648"/>
      <c r="D39" s="648"/>
      <c r="E39" s="648"/>
      <c r="F39" s="648"/>
      <c r="G39" s="648"/>
      <c r="H39" s="1141"/>
      <c r="I39" s="374"/>
      <c r="J39" s="578"/>
    </row>
    <row r="40" spans="2:10" ht="21" customHeight="1">
      <c r="B40" s="1141" t="s">
        <v>3455</v>
      </c>
      <c r="C40" s="1141"/>
      <c r="D40" s="1141"/>
      <c r="E40" s="1141"/>
      <c r="F40" s="1141"/>
      <c r="G40" s="1141"/>
      <c r="H40" s="1141"/>
      <c r="I40" s="374"/>
      <c r="J40" s="979" t="s">
        <v>788</v>
      </c>
    </row>
    <row r="41" spans="2:10" ht="21" customHeight="1">
      <c r="B41" s="1141" t="str">
        <f>"Appropriation to "&amp;'KEY INPUTS'!D34&amp;" Budget Reserve"</f>
        <v>Appropriation to 2019 Budget Reserve</v>
      </c>
      <c r="C41" s="1141"/>
      <c r="D41" s="1141"/>
      <c r="E41" s="1141"/>
      <c r="F41" s="1141"/>
      <c r="G41" s="1428"/>
      <c r="H41" s="1141"/>
      <c r="I41" s="601"/>
      <c r="J41" s="979" t="s">
        <v>788</v>
      </c>
    </row>
    <row r="42" spans="2:10" ht="21" customHeight="1">
      <c r="B42" s="1141" t="str">
        <f>'KEY INPUTS'!D26</f>
        <v>Balance - December 31, 2019</v>
      </c>
      <c r="C42" s="1141"/>
      <c r="D42" s="1141"/>
      <c r="E42" s="1141"/>
      <c r="F42" s="1141"/>
      <c r="G42" s="1141"/>
      <c r="H42" s="1141"/>
      <c r="I42" s="844">
        <f>SUM(J34:J39)-SUM(I37:I41)</f>
        <v>0</v>
      </c>
      <c r="J42" s="979" t="s">
        <v>788</v>
      </c>
    </row>
    <row r="43" spans="2:10" ht="21" customHeight="1" thickBot="1">
      <c r="B43" s="1148"/>
      <c r="C43" s="1148"/>
      <c r="D43" s="1148"/>
      <c r="E43" s="1148"/>
      <c r="F43" s="1148"/>
      <c r="G43" s="1148"/>
      <c r="H43" s="1148"/>
      <c r="I43" s="1023">
        <f>SUM(I34:I42)</f>
        <v>0</v>
      </c>
      <c r="J43" s="987">
        <f>SUM(J34:J42)</f>
        <v>0</v>
      </c>
    </row>
    <row r="44" spans="2:10" ht="21" customHeight="1" thickTop="1"/>
    <row r="45" spans="2:10" ht="21" customHeight="1"/>
    <row r="46" spans="2:10" ht="21" customHeight="1"/>
    <row r="47" spans="2:10" ht="21" customHeight="1"/>
    <row r="48" spans="2:10" ht="21" customHeight="1"/>
    <row r="49" spans="2:10" ht="21" customHeight="1"/>
    <row r="52" spans="2:10" ht="13.8">
      <c r="B52" s="1813" t="s">
        <v>3454</v>
      </c>
      <c r="C52" s="1813"/>
      <c r="D52" s="1813"/>
      <c r="E52" s="1813"/>
      <c r="F52" s="1813"/>
      <c r="G52" s="1813"/>
      <c r="H52" s="1813"/>
      <c r="I52" s="1813"/>
      <c r="J52" s="1813"/>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C00000"/>
  </sheetPr>
  <dimension ref="A2:AB592"/>
  <sheetViews>
    <sheetView topLeftCell="C49" zoomScaleNormal="100" workbookViewId="0">
      <selection activeCell="D38" sqref="D38"/>
    </sheetView>
  </sheetViews>
  <sheetFormatPr defaultRowHeight="13.2"/>
  <cols>
    <col min="1" max="2" width="4.6640625" hidden="1" customWidth="1"/>
    <col min="3" max="3" width="31.5546875" customWidth="1"/>
    <col min="4" max="4" width="54.109375" customWidth="1"/>
    <col min="5" max="5" width="10.88671875" bestFit="1" customWidth="1"/>
    <col min="6" max="6" width="11.44140625" customWidth="1"/>
    <col min="17" max="18" width="9.109375" hidden="1" customWidth="1"/>
    <col min="19" max="19" width="27" hidden="1" customWidth="1"/>
    <col min="20" max="20" width="21.5546875" hidden="1" customWidth="1"/>
    <col min="21" max="21" width="34.6640625" hidden="1" customWidth="1"/>
    <col min="22" max="22" width="29.44140625" hidden="1" customWidth="1"/>
    <col min="23" max="23" width="13.109375" hidden="1" customWidth="1"/>
    <col min="24" max="24" width="19" hidden="1" customWidth="1"/>
    <col min="25" max="25" width="25.5546875" style="322" hidden="1" customWidth="1"/>
    <col min="26" max="26" width="20.5546875" hidden="1" customWidth="1"/>
    <col min="27" max="27" width="9.109375" hidden="1" customWidth="1"/>
  </cols>
  <sheetData>
    <row r="2" spans="3:28" ht="17.399999999999999">
      <c r="C2" s="1512" t="s">
        <v>1167</v>
      </c>
      <c r="D2" s="1512"/>
      <c r="E2" s="1512"/>
    </row>
    <row r="3" spans="3:28">
      <c r="D3" s="1485" t="s">
        <v>3787</v>
      </c>
      <c r="AB3" s="1485" t="s">
        <v>3787</v>
      </c>
    </row>
    <row r="5" spans="3:28">
      <c r="C5" s="45" t="s">
        <v>851</v>
      </c>
    </row>
    <row r="6" spans="3:28">
      <c r="C6" s="45" t="s">
        <v>902</v>
      </c>
      <c r="D6" s="1511" t="s">
        <v>852</v>
      </c>
      <c r="E6" s="1511"/>
      <c r="R6" s="324" t="s">
        <v>3377</v>
      </c>
      <c r="S6" s="118" t="s">
        <v>2858</v>
      </c>
      <c r="T6" s="118" t="s">
        <v>455</v>
      </c>
      <c r="U6" s="118" t="s">
        <v>2857</v>
      </c>
      <c r="V6" s="118" t="s">
        <v>853</v>
      </c>
      <c r="W6" s="118" t="s">
        <v>2860</v>
      </c>
      <c r="X6" s="118" t="s">
        <v>2859</v>
      </c>
      <c r="Y6" s="118" t="s">
        <v>3405</v>
      </c>
      <c r="Z6" s="118" t="s">
        <v>855</v>
      </c>
      <c r="AA6" s="118" t="s">
        <v>3406</v>
      </c>
    </row>
    <row r="7" spans="3:28" ht="14.4" thickBot="1">
      <c r="C7" s="95"/>
      <c r="D7" s="95"/>
      <c r="E7" s="95"/>
      <c r="Q7" s="385">
        <v>1</v>
      </c>
      <c r="R7" s="386" t="s">
        <v>1168</v>
      </c>
      <c r="S7" s="386" t="s">
        <v>1169</v>
      </c>
      <c r="T7" s="387" t="s">
        <v>1170</v>
      </c>
      <c r="U7" s="385" t="s">
        <v>1171</v>
      </c>
      <c r="V7" s="385" t="s">
        <v>1169</v>
      </c>
      <c r="W7" s="386" t="s">
        <v>3109</v>
      </c>
      <c r="X7" s="324" t="s">
        <v>3364</v>
      </c>
      <c r="Y7" s="324" t="s">
        <v>3400</v>
      </c>
      <c r="Z7" t="s">
        <v>3381</v>
      </c>
      <c r="AA7" s="392">
        <v>18210</v>
      </c>
    </row>
    <row r="8" spans="3:28" s="322" customFormat="1" ht="20.25" customHeight="1" thickTop="1">
      <c r="C8" s="365" t="s">
        <v>1162</v>
      </c>
      <c r="D8" s="1019">
        <v>444</v>
      </c>
      <c r="E8" s="1019"/>
      <c r="Q8" s="385">
        <f>Q7+1</f>
        <v>2</v>
      </c>
      <c r="R8" s="386" t="s">
        <v>1172</v>
      </c>
      <c r="S8" s="386" t="s">
        <v>1173</v>
      </c>
      <c r="T8" s="387" t="s">
        <v>1174</v>
      </c>
      <c r="U8" s="385" t="s">
        <v>1175</v>
      </c>
      <c r="V8" s="385" t="s">
        <v>3309</v>
      </c>
      <c r="W8" s="386" t="s">
        <v>3309</v>
      </c>
      <c r="X8" s="324" t="s">
        <v>3366</v>
      </c>
      <c r="Y8" s="324" t="s">
        <v>3400</v>
      </c>
      <c r="Z8" s="322" t="s">
        <v>3382</v>
      </c>
      <c r="AA8" s="392">
        <v>8411</v>
      </c>
    </row>
    <row r="9" spans="3:28" ht="13.8">
      <c r="C9" s="324" t="s">
        <v>3728</v>
      </c>
      <c r="D9" s="390" t="str">
        <f>UPPER(VLOOKUP($D$8,$Q$7:$X$592,8,FALSE)&amp;" Of "&amp;VLOOKUP($D$8,$Q$7:$X$592,7,FALSE))</f>
        <v>BOROUGH OF SAYREVILLE</v>
      </c>
      <c r="E9" s="277"/>
      <c r="Q9" s="385">
        <f t="shared" ref="Q9:Q72" si="0">Q8+1</f>
        <v>3</v>
      </c>
      <c r="R9" s="386" t="s">
        <v>3371</v>
      </c>
      <c r="S9" s="386" t="s">
        <v>3373</v>
      </c>
      <c r="T9" s="387" t="s">
        <v>1295</v>
      </c>
      <c r="U9" s="385" t="str">
        <f>S9&amp;", "&amp;T9&amp;" County"</f>
        <v>Alexandria Township, Hunterdon County</v>
      </c>
      <c r="V9" s="385" t="s">
        <v>3373</v>
      </c>
      <c r="W9" s="386" t="s">
        <v>3375</v>
      </c>
      <c r="X9" s="324" t="s">
        <v>3364</v>
      </c>
      <c r="Y9" s="324" t="s">
        <v>3401</v>
      </c>
      <c r="Z9" s="322" t="s">
        <v>3383</v>
      </c>
      <c r="AA9" s="392">
        <v>4938</v>
      </c>
    </row>
    <row r="10" spans="3:28" ht="13.8">
      <c r="C10" s="324" t="s">
        <v>3729</v>
      </c>
      <c r="D10" s="391" t="str">
        <f>UPPER(VLOOKUP($D$8,$Q$7:$X$592,4,FALSE))</f>
        <v>MIDDLESEX</v>
      </c>
      <c r="E10" s="277"/>
      <c r="Q10" s="385">
        <f t="shared" si="0"/>
        <v>4</v>
      </c>
      <c r="R10" s="386" t="s">
        <v>3372</v>
      </c>
      <c r="S10" s="386" t="s">
        <v>3374</v>
      </c>
      <c r="T10" s="387" t="s">
        <v>1192</v>
      </c>
      <c r="U10" s="385" t="str">
        <f>S10&amp;", "&amp;T10&amp;" County"</f>
        <v>Allamuchy Township, Warren County</v>
      </c>
      <c r="V10" s="385" t="s">
        <v>3374</v>
      </c>
      <c r="W10" s="386" t="s">
        <v>3376</v>
      </c>
      <c r="X10" s="324" t="s">
        <v>3364</v>
      </c>
      <c r="Y10" s="324" t="s">
        <v>3400</v>
      </c>
      <c r="Z10" s="322" t="s">
        <v>3384</v>
      </c>
      <c r="AA10" s="392">
        <v>4323</v>
      </c>
    </row>
    <row r="11" spans="3:28" ht="13.8">
      <c r="C11" s="324" t="s">
        <v>3730</v>
      </c>
      <c r="D11" s="391" t="str">
        <f>UPPER(VLOOKUP($D$8,$Q$7:$X$592,7,FALSE))</f>
        <v>SAYREVILLE</v>
      </c>
      <c r="E11" s="277"/>
      <c r="Q11" s="385">
        <f t="shared" si="0"/>
        <v>5</v>
      </c>
      <c r="R11" s="386" t="s">
        <v>1176</v>
      </c>
      <c r="S11" s="386" t="s">
        <v>1177</v>
      </c>
      <c r="T11" s="387" t="s">
        <v>1178</v>
      </c>
      <c r="U11" s="385" t="s">
        <v>1179</v>
      </c>
      <c r="V11" s="385" t="s">
        <v>2861</v>
      </c>
      <c r="W11" s="386" t="s">
        <v>2861</v>
      </c>
      <c r="X11" s="324" t="s">
        <v>3365</v>
      </c>
      <c r="Y11" s="324" t="s">
        <v>3400</v>
      </c>
      <c r="Z11" s="322" t="s">
        <v>3381</v>
      </c>
      <c r="AA11" s="392">
        <v>6505</v>
      </c>
    </row>
    <row r="12" spans="3:28" ht="13.8">
      <c r="C12" t="s">
        <v>854</v>
      </c>
      <c r="D12" s="391" t="str">
        <f>UPPER(VLOOKUP($D$8,$Q$7:$X$592,8,FALSE))</f>
        <v>BOROUGH</v>
      </c>
      <c r="E12" s="277"/>
      <c r="Q12" s="385">
        <f t="shared" si="0"/>
        <v>6</v>
      </c>
      <c r="R12" s="386" t="s">
        <v>1180</v>
      </c>
      <c r="S12" s="386" t="s">
        <v>1181</v>
      </c>
      <c r="T12" s="387" t="s">
        <v>1170</v>
      </c>
      <c r="U12" s="385" t="s">
        <v>1182</v>
      </c>
      <c r="V12" s="385" t="s">
        <v>2862</v>
      </c>
      <c r="W12" s="386" t="s">
        <v>2862</v>
      </c>
      <c r="X12" s="324" t="s">
        <v>3365</v>
      </c>
      <c r="Y12" s="324" t="s">
        <v>3402</v>
      </c>
      <c r="Z12" s="322" t="s">
        <v>3385</v>
      </c>
      <c r="AA12" s="392">
        <v>496</v>
      </c>
    </row>
    <row r="13" spans="3:28" ht="13.8">
      <c r="C13" t="s">
        <v>1058</v>
      </c>
      <c r="D13" s="395" t="s">
        <v>3798</v>
      </c>
      <c r="E13" s="277"/>
      <c r="Q13" s="385">
        <f t="shared" si="0"/>
        <v>7</v>
      </c>
      <c r="R13" s="386" t="s">
        <v>1183</v>
      </c>
      <c r="S13" s="386" t="s">
        <v>1184</v>
      </c>
      <c r="T13" s="387" t="s">
        <v>1170</v>
      </c>
      <c r="U13" s="385" t="s">
        <v>1185</v>
      </c>
      <c r="V13" s="385" t="s">
        <v>2863</v>
      </c>
      <c r="W13" s="386" t="s">
        <v>2863</v>
      </c>
      <c r="X13" s="324" t="s">
        <v>3365</v>
      </c>
      <c r="Y13" s="324" t="s">
        <v>3400</v>
      </c>
      <c r="Z13" s="322" t="s">
        <v>3381</v>
      </c>
      <c r="AA13" s="392">
        <v>1828</v>
      </c>
    </row>
    <row r="14" spans="3:28" ht="13.8">
      <c r="C14" t="s">
        <v>855</v>
      </c>
      <c r="D14" s="391" t="str">
        <f>UPPER(VLOOKUP($D$8,$Q$7:$Z$592,9,FALSE))</f>
        <v>COUNCIL MEMBERS</v>
      </c>
      <c r="E14" s="277"/>
      <c r="Q14" s="385">
        <f t="shared" si="0"/>
        <v>8</v>
      </c>
      <c r="R14" s="386" t="s">
        <v>1186</v>
      </c>
      <c r="S14" s="386" t="s">
        <v>1187</v>
      </c>
      <c r="T14" s="387" t="s">
        <v>1188</v>
      </c>
      <c r="U14" s="385" t="s">
        <v>1189</v>
      </c>
      <c r="V14" s="385" t="s">
        <v>1187</v>
      </c>
      <c r="W14" s="386" t="s">
        <v>3110</v>
      </c>
      <c r="X14" s="324" t="s">
        <v>3364</v>
      </c>
      <c r="Y14" s="324" t="s">
        <v>3401</v>
      </c>
      <c r="Z14" s="322" t="s">
        <v>3383</v>
      </c>
      <c r="AA14" s="392">
        <v>3467</v>
      </c>
    </row>
    <row r="15" spans="3:28" ht="13.8">
      <c r="Q15" s="385">
        <f t="shared" si="0"/>
        <v>9</v>
      </c>
      <c r="R15" s="386" t="s">
        <v>1190</v>
      </c>
      <c r="S15" s="386" t="s">
        <v>1191</v>
      </c>
      <c r="T15" s="387" t="s">
        <v>1192</v>
      </c>
      <c r="U15" s="385" t="s">
        <v>1193</v>
      </c>
      <c r="V15" s="385" t="s">
        <v>2864</v>
      </c>
      <c r="W15" s="386" t="s">
        <v>2864</v>
      </c>
      <c r="X15" s="324" t="s">
        <v>3365</v>
      </c>
      <c r="Y15" s="324" t="s">
        <v>3400</v>
      </c>
      <c r="Z15" s="322" t="s">
        <v>3381</v>
      </c>
      <c r="AA15" s="392">
        <v>2369</v>
      </c>
    </row>
    <row r="16" spans="3:28" ht="13.8">
      <c r="C16" t="s">
        <v>62</v>
      </c>
      <c r="D16" s="395"/>
      <c r="E16" s="277"/>
      <c r="Q16" s="385">
        <f t="shared" si="0"/>
        <v>10</v>
      </c>
      <c r="R16" s="386" t="s">
        <v>1194</v>
      </c>
      <c r="S16" s="386" t="s">
        <v>1195</v>
      </c>
      <c r="T16" s="387" t="s">
        <v>1178</v>
      </c>
      <c r="U16" s="385" t="s">
        <v>1196</v>
      </c>
      <c r="V16" s="385" t="s">
        <v>2865</v>
      </c>
      <c r="W16" s="386" t="s">
        <v>2865</v>
      </c>
      <c r="X16" s="324" t="s">
        <v>3365</v>
      </c>
      <c r="Y16" s="324" t="s">
        <v>3400</v>
      </c>
      <c r="Z16" s="322" t="s">
        <v>3381</v>
      </c>
      <c r="AA16" s="392">
        <v>1849</v>
      </c>
    </row>
    <row r="17" spans="3:27" ht="13.8">
      <c r="C17" t="s">
        <v>62</v>
      </c>
      <c r="D17" s="395"/>
      <c r="E17" s="277"/>
      <c r="Q17" s="385">
        <f t="shared" si="0"/>
        <v>11</v>
      </c>
      <c r="R17" s="386" t="s">
        <v>1197</v>
      </c>
      <c r="S17" s="386" t="s">
        <v>1198</v>
      </c>
      <c r="T17" s="387" t="s">
        <v>1199</v>
      </c>
      <c r="U17" s="385" t="s">
        <v>1200</v>
      </c>
      <c r="V17" s="385" t="s">
        <v>2866</v>
      </c>
      <c r="W17" s="386" t="s">
        <v>2866</v>
      </c>
      <c r="X17" s="324" t="s">
        <v>3365</v>
      </c>
      <c r="Y17" s="324" t="s">
        <v>3400</v>
      </c>
      <c r="Z17" s="322" t="s">
        <v>3381</v>
      </c>
      <c r="AA17" s="392">
        <v>606</v>
      </c>
    </row>
    <row r="18" spans="3:27" ht="13.8">
      <c r="C18" t="s">
        <v>856</v>
      </c>
      <c r="D18" s="395"/>
      <c r="E18" s="277"/>
      <c r="Q18" s="385">
        <f t="shared" si="0"/>
        <v>12</v>
      </c>
      <c r="R18" s="386" t="s">
        <v>1201</v>
      </c>
      <c r="S18" s="386" t="s">
        <v>1202</v>
      </c>
      <c r="T18" s="387" t="s">
        <v>1199</v>
      </c>
      <c r="U18" s="385" t="s">
        <v>1203</v>
      </c>
      <c r="V18" s="385" t="s">
        <v>1202</v>
      </c>
      <c r="W18" s="386" t="s">
        <v>2866</v>
      </c>
      <c r="X18" s="324" t="s">
        <v>3364</v>
      </c>
      <c r="Y18" s="324" t="s">
        <v>3401</v>
      </c>
      <c r="Z18" s="322" t="s">
        <v>3386</v>
      </c>
      <c r="AA18" s="392">
        <v>6319</v>
      </c>
    </row>
    <row r="19" spans="3:27" ht="13.8">
      <c r="C19" t="s">
        <v>857</v>
      </c>
      <c r="D19" s="395"/>
      <c r="Q19" s="385">
        <f t="shared" si="0"/>
        <v>13</v>
      </c>
      <c r="R19" s="386" t="s">
        <v>1204</v>
      </c>
      <c r="S19" s="386" t="s">
        <v>1205</v>
      </c>
      <c r="T19" s="387" t="s">
        <v>1170</v>
      </c>
      <c r="U19" s="385" t="s">
        <v>1206</v>
      </c>
      <c r="V19" s="385" t="s">
        <v>3310</v>
      </c>
      <c r="W19" s="386" t="s">
        <v>3310</v>
      </c>
      <c r="X19" s="324" t="s">
        <v>3366</v>
      </c>
      <c r="Y19" s="324" t="s">
        <v>3400</v>
      </c>
      <c r="Z19" s="322" t="s">
        <v>3387</v>
      </c>
      <c r="AA19" s="392">
        <v>16116</v>
      </c>
    </row>
    <row r="20" spans="3:27" ht="13.8">
      <c r="E20" s="360" t="s">
        <v>1161</v>
      </c>
      <c r="Q20" s="385">
        <f t="shared" si="0"/>
        <v>14</v>
      </c>
      <c r="R20" s="386" t="s">
        <v>1207</v>
      </c>
      <c r="S20" s="388" t="s">
        <v>1208</v>
      </c>
      <c r="T20" s="387" t="s">
        <v>1174</v>
      </c>
      <c r="U20" s="385" t="s">
        <v>1209</v>
      </c>
      <c r="V20" s="385" t="s">
        <v>3359</v>
      </c>
      <c r="W20" s="388" t="s">
        <v>3359</v>
      </c>
      <c r="X20" s="324" t="s">
        <v>3366</v>
      </c>
      <c r="Y20" s="324" t="s">
        <v>3400</v>
      </c>
      <c r="Z20" s="322" t="s">
        <v>3388</v>
      </c>
      <c r="AA20" s="392">
        <v>39558</v>
      </c>
    </row>
    <row r="21" spans="3:27" ht="13.8">
      <c r="C21" t="s">
        <v>153</v>
      </c>
      <c r="D21" s="395"/>
      <c r="E21" s="395"/>
      <c r="Q21" s="385">
        <f t="shared" si="0"/>
        <v>15</v>
      </c>
      <c r="R21" s="386" t="s">
        <v>1210</v>
      </c>
      <c r="S21" s="386" t="s">
        <v>1211</v>
      </c>
      <c r="T21" s="387" t="s">
        <v>1170</v>
      </c>
      <c r="U21" s="385" t="s">
        <v>1212</v>
      </c>
      <c r="V21" s="385" t="s">
        <v>2867</v>
      </c>
      <c r="W21" s="386" t="s">
        <v>2867</v>
      </c>
      <c r="X21" s="324" t="s">
        <v>3365</v>
      </c>
      <c r="Y21" s="324" t="s">
        <v>3400</v>
      </c>
      <c r="Z21" s="322" t="s">
        <v>3381</v>
      </c>
      <c r="AA21" s="392">
        <v>4385</v>
      </c>
    </row>
    <row r="22" spans="3:27" ht="13.8">
      <c r="C22" t="s">
        <v>1057</v>
      </c>
      <c r="D22" s="395"/>
      <c r="E22" s="277"/>
      <c r="F22" s="762" t="s">
        <v>3545</v>
      </c>
      <c r="Q22" s="385">
        <f t="shared" si="0"/>
        <v>16</v>
      </c>
      <c r="R22" s="386" t="s">
        <v>1213</v>
      </c>
      <c r="S22" s="386" t="s">
        <v>1214</v>
      </c>
      <c r="T22" s="387" t="s">
        <v>1215</v>
      </c>
      <c r="U22" s="385" t="s">
        <v>1216</v>
      </c>
      <c r="V22" s="385" t="s">
        <v>2868</v>
      </c>
      <c r="W22" s="386" t="s">
        <v>2868</v>
      </c>
      <c r="X22" s="324" t="s">
        <v>3365</v>
      </c>
      <c r="Y22" s="324" t="s">
        <v>3402</v>
      </c>
      <c r="Z22" s="322" t="s">
        <v>3385</v>
      </c>
      <c r="AA22" s="392">
        <v>8819</v>
      </c>
    </row>
    <row r="23" spans="3:27" ht="13.8">
      <c r="C23" t="s">
        <v>1059</v>
      </c>
      <c r="D23" s="396"/>
      <c r="E23" s="277"/>
      <c r="Q23" s="385">
        <f t="shared" si="0"/>
        <v>17</v>
      </c>
      <c r="R23" s="386" t="s">
        <v>1217</v>
      </c>
      <c r="S23" s="386" t="s">
        <v>1218</v>
      </c>
      <c r="T23" s="387" t="s">
        <v>1215</v>
      </c>
      <c r="U23" s="385" t="s">
        <v>1219</v>
      </c>
      <c r="V23" s="385" t="s">
        <v>2869</v>
      </c>
      <c r="W23" s="386" t="s">
        <v>2869</v>
      </c>
      <c r="X23" s="324" t="s">
        <v>3365</v>
      </c>
      <c r="Y23" s="324" t="s">
        <v>3400</v>
      </c>
      <c r="Z23" s="322" t="s">
        <v>3381</v>
      </c>
      <c r="AA23" s="392">
        <v>1023</v>
      </c>
    </row>
    <row r="24" spans="3:27" ht="13.8">
      <c r="Q24" s="385">
        <f t="shared" si="0"/>
        <v>18</v>
      </c>
      <c r="R24" s="386" t="s">
        <v>1220</v>
      </c>
      <c r="S24" s="386" t="s">
        <v>1221</v>
      </c>
      <c r="T24" s="387" t="s">
        <v>1222</v>
      </c>
      <c r="U24" s="385" t="s">
        <v>1223</v>
      </c>
      <c r="V24" s="385" t="s">
        <v>2870</v>
      </c>
      <c r="W24" s="386" t="s">
        <v>2870</v>
      </c>
      <c r="X24" s="324" t="s">
        <v>3365</v>
      </c>
      <c r="Y24" s="324" t="s">
        <v>3400</v>
      </c>
      <c r="Z24" s="322" t="s">
        <v>3389</v>
      </c>
      <c r="AA24" s="392">
        <v>1334</v>
      </c>
    </row>
    <row r="25" spans="3:27" ht="13.8">
      <c r="C25" s="293" t="s">
        <v>1143</v>
      </c>
      <c r="D25" s="393" t="s">
        <v>1164</v>
      </c>
      <c r="E25" s="277"/>
      <c r="Q25" s="385">
        <f t="shared" si="0"/>
        <v>19</v>
      </c>
      <c r="R25" s="386" t="s">
        <v>1224</v>
      </c>
      <c r="S25" s="386" t="s">
        <v>1225</v>
      </c>
      <c r="T25" s="387" t="s">
        <v>1170</v>
      </c>
      <c r="U25" s="385" t="s">
        <v>1226</v>
      </c>
      <c r="V25" s="385" t="s">
        <v>2871</v>
      </c>
      <c r="W25" s="386" t="s">
        <v>2871</v>
      </c>
      <c r="X25" s="324" t="s">
        <v>3365</v>
      </c>
      <c r="Y25" s="324" t="s">
        <v>3402</v>
      </c>
      <c r="Z25" s="322" t="s">
        <v>3385</v>
      </c>
      <c r="AA25" s="392">
        <v>1901</v>
      </c>
    </row>
    <row r="26" spans="3:27" ht="13.8">
      <c r="C26" s="293"/>
      <c r="D26" s="393" t="s">
        <v>1163</v>
      </c>
      <c r="E26" s="277"/>
      <c r="Q26" s="385">
        <f t="shared" si="0"/>
        <v>20</v>
      </c>
      <c r="R26" s="386" t="s">
        <v>1227</v>
      </c>
      <c r="S26" s="386" t="s">
        <v>1228</v>
      </c>
      <c r="T26" s="387" t="s">
        <v>1229</v>
      </c>
      <c r="U26" s="385" t="s">
        <v>1230</v>
      </c>
      <c r="V26" s="385" t="s">
        <v>2872</v>
      </c>
      <c r="W26" s="386" t="s">
        <v>2872</v>
      </c>
      <c r="X26" s="324" t="s">
        <v>3365</v>
      </c>
      <c r="Y26" s="324" t="s">
        <v>3400</v>
      </c>
      <c r="Z26" s="322" t="s">
        <v>3381</v>
      </c>
      <c r="AA26" s="392">
        <v>574</v>
      </c>
    </row>
    <row r="27" spans="3:27" ht="13.8">
      <c r="C27" s="293"/>
      <c r="D27" s="393" t="s">
        <v>1165</v>
      </c>
      <c r="E27" s="277"/>
      <c r="Q27" s="385">
        <f t="shared" si="0"/>
        <v>21</v>
      </c>
      <c r="R27" s="386" t="s">
        <v>1231</v>
      </c>
      <c r="S27" s="386" t="s">
        <v>1232</v>
      </c>
      <c r="T27" s="387" t="s">
        <v>1229</v>
      </c>
      <c r="U27" s="385" t="s">
        <v>1233</v>
      </c>
      <c r="V27" s="385" t="s">
        <v>1232</v>
      </c>
      <c r="W27" s="386" t="s">
        <v>3111</v>
      </c>
      <c r="X27" s="324" t="s">
        <v>3364</v>
      </c>
      <c r="Y27" s="324" t="s">
        <v>3401</v>
      </c>
      <c r="Z27" s="322" t="s">
        <v>3386</v>
      </c>
      <c r="AA27" s="392">
        <v>20936</v>
      </c>
    </row>
    <row r="28" spans="3:27" ht="13.8">
      <c r="C28" s="293"/>
      <c r="D28" s="393" t="s">
        <v>1166</v>
      </c>
      <c r="Q28" s="385">
        <f t="shared" si="0"/>
        <v>22</v>
      </c>
      <c r="R28" s="386" t="s">
        <v>1234</v>
      </c>
      <c r="S28" s="386" t="s">
        <v>1235</v>
      </c>
      <c r="T28" s="387" t="s">
        <v>1215</v>
      </c>
      <c r="U28" s="385" t="s">
        <v>1236</v>
      </c>
      <c r="V28" s="385" t="s">
        <v>2873</v>
      </c>
      <c r="W28" s="386" t="s">
        <v>2873</v>
      </c>
      <c r="X28" s="324" t="s">
        <v>3365</v>
      </c>
      <c r="Y28" s="324" t="s">
        <v>3400</v>
      </c>
      <c r="Z28" s="322" t="s">
        <v>3381</v>
      </c>
      <c r="AA28" s="392">
        <v>6983</v>
      </c>
    </row>
    <row r="29" spans="3:27" ht="13.8">
      <c r="C29" s="293" t="s">
        <v>1144</v>
      </c>
      <c r="D29" s="394">
        <v>43830</v>
      </c>
      <c r="Q29" s="385">
        <f t="shared" si="0"/>
        <v>23</v>
      </c>
      <c r="R29" s="386" t="s">
        <v>1237</v>
      </c>
      <c r="S29" s="386" t="s">
        <v>1238</v>
      </c>
      <c r="T29" s="387" t="s">
        <v>1239</v>
      </c>
      <c r="U29" s="385" t="s">
        <v>1240</v>
      </c>
      <c r="V29" s="385" t="s">
        <v>1238</v>
      </c>
      <c r="W29" s="386" t="s">
        <v>3112</v>
      </c>
      <c r="X29" s="324" t="s">
        <v>3364</v>
      </c>
      <c r="Y29" s="324" t="s">
        <v>3402</v>
      </c>
      <c r="Z29" s="322" t="s">
        <v>3385</v>
      </c>
      <c r="AA29" s="392">
        <v>1443</v>
      </c>
    </row>
    <row r="30" spans="3:27" ht="13.8">
      <c r="C30" s="293" t="s">
        <v>3456</v>
      </c>
      <c r="D30" s="394">
        <v>44196</v>
      </c>
      <c r="Q30" s="385">
        <f t="shared" si="0"/>
        <v>24</v>
      </c>
      <c r="R30" s="386" t="s">
        <v>1241</v>
      </c>
      <c r="S30" s="386" t="s">
        <v>1242</v>
      </c>
      <c r="T30" s="387" t="s">
        <v>1229</v>
      </c>
      <c r="U30" s="385" t="s">
        <v>1243</v>
      </c>
      <c r="V30" s="385" t="s">
        <v>2874</v>
      </c>
      <c r="W30" s="386" t="s">
        <v>2874</v>
      </c>
      <c r="X30" s="324" t="s">
        <v>3365</v>
      </c>
      <c r="Y30" s="324" t="s">
        <v>3400</v>
      </c>
      <c r="Z30" s="322" t="s">
        <v>3381</v>
      </c>
      <c r="AA30" s="392">
        <v>968</v>
      </c>
    </row>
    <row r="31" spans="3:27" ht="13.8">
      <c r="Q31" s="385">
        <f t="shared" si="0"/>
        <v>25</v>
      </c>
      <c r="R31" s="386" t="s">
        <v>1244</v>
      </c>
      <c r="S31" s="386" t="s">
        <v>1245</v>
      </c>
      <c r="T31" s="387" t="s">
        <v>1246</v>
      </c>
      <c r="U31" s="385" t="s">
        <v>1247</v>
      </c>
      <c r="V31" s="385" t="s">
        <v>3311</v>
      </c>
      <c r="W31" s="386" t="s">
        <v>3311</v>
      </c>
      <c r="X31" s="324" t="s">
        <v>3366</v>
      </c>
      <c r="Y31" s="324" t="s">
        <v>3400</v>
      </c>
      <c r="Z31" s="322" t="s">
        <v>3389</v>
      </c>
      <c r="AA31" s="392">
        <v>63024</v>
      </c>
    </row>
    <row r="32" spans="3:27" ht="13.8">
      <c r="Q32" s="385">
        <f t="shared" si="0"/>
        <v>26</v>
      </c>
      <c r="R32" s="386" t="s">
        <v>1248</v>
      </c>
      <c r="S32" s="386" t="s">
        <v>1249</v>
      </c>
      <c r="T32" s="387" t="s">
        <v>1229</v>
      </c>
      <c r="U32" s="385" t="s">
        <v>1250</v>
      </c>
      <c r="V32" s="385" t="s">
        <v>2875</v>
      </c>
      <c r="W32" s="386" t="s">
        <v>2875</v>
      </c>
      <c r="X32" s="324" t="s">
        <v>3365</v>
      </c>
      <c r="Y32" s="324" t="s">
        <v>3400</v>
      </c>
      <c r="Z32" s="322" t="s">
        <v>3387</v>
      </c>
      <c r="AA32" s="392">
        <v>1170</v>
      </c>
    </row>
    <row r="33" spans="3:27" ht="13.8">
      <c r="C33" s="278" t="s">
        <v>1139</v>
      </c>
      <c r="D33" s="369">
        <v>2020</v>
      </c>
      <c r="Q33" s="385">
        <f t="shared" si="0"/>
        <v>27</v>
      </c>
      <c r="R33" s="386" t="s">
        <v>1251</v>
      </c>
      <c r="S33" s="386" t="s">
        <v>1252</v>
      </c>
      <c r="T33" s="387" t="s">
        <v>1229</v>
      </c>
      <c r="U33" s="385" t="s">
        <v>1253</v>
      </c>
      <c r="V33" s="385" t="s">
        <v>2876</v>
      </c>
      <c r="W33" s="386" t="s">
        <v>2876</v>
      </c>
      <c r="X33" s="324" t="s">
        <v>3365</v>
      </c>
      <c r="Y33" s="324" t="s">
        <v>3400</v>
      </c>
      <c r="Z33" s="322" t="s">
        <v>3381</v>
      </c>
      <c r="AA33" s="392">
        <v>11045</v>
      </c>
    </row>
    <row r="34" spans="3:27" ht="13.8">
      <c r="C34" s="278" t="s">
        <v>1140</v>
      </c>
      <c r="D34" s="370">
        <f>D33-1</f>
        <v>2019</v>
      </c>
      <c r="Q34" s="385">
        <f t="shared" si="0"/>
        <v>28</v>
      </c>
      <c r="R34" s="386" t="s">
        <v>1254</v>
      </c>
      <c r="S34" s="386" t="s">
        <v>1255</v>
      </c>
      <c r="T34" s="387" t="s">
        <v>1256</v>
      </c>
      <c r="U34" s="385" t="s">
        <v>1257</v>
      </c>
      <c r="V34" s="385" t="s">
        <v>1255</v>
      </c>
      <c r="W34" s="386" t="s">
        <v>3113</v>
      </c>
      <c r="X34" s="324" t="s">
        <v>3364</v>
      </c>
      <c r="Y34" s="324" t="s">
        <v>3401</v>
      </c>
      <c r="Z34" s="322" t="s">
        <v>3386</v>
      </c>
      <c r="AA34" s="392">
        <v>8165</v>
      </c>
    </row>
    <row r="35" spans="3:27" ht="13.8">
      <c r="C35" s="278" t="s">
        <v>1141</v>
      </c>
      <c r="D35" s="370">
        <f>D34-1</f>
        <v>2018</v>
      </c>
      <c r="Q35" s="385">
        <f t="shared" si="0"/>
        <v>29</v>
      </c>
      <c r="R35" s="386" t="s">
        <v>1258</v>
      </c>
      <c r="S35" s="386" t="s">
        <v>1259</v>
      </c>
      <c r="T35" s="387" t="s">
        <v>1260</v>
      </c>
      <c r="U35" s="385" t="s">
        <v>1261</v>
      </c>
      <c r="V35" s="385" t="s">
        <v>1259</v>
      </c>
      <c r="W35" s="386" t="s">
        <v>3114</v>
      </c>
      <c r="X35" s="324" t="s">
        <v>3364</v>
      </c>
      <c r="Y35" s="324" t="s">
        <v>3400</v>
      </c>
      <c r="Z35" s="322" t="s">
        <v>3390</v>
      </c>
      <c r="AA35" s="392">
        <v>35926</v>
      </c>
    </row>
    <row r="36" spans="3:27" ht="13.8">
      <c r="Q36" s="385">
        <f t="shared" si="0"/>
        <v>30</v>
      </c>
      <c r="R36" s="386" t="s">
        <v>1262</v>
      </c>
      <c r="S36" s="386" t="s">
        <v>1263</v>
      </c>
      <c r="T36" s="387" t="s">
        <v>1215</v>
      </c>
      <c r="U36" s="385" t="s">
        <v>1264</v>
      </c>
      <c r="V36" s="385" t="s">
        <v>2877</v>
      </c>
      <c r="W36" s="386" t="s">
        <v>2877</v>
      </c>
      <c r="X36" s="324" t="s">
        <v>3365</v>
      </c>
      <c r="Y36" s="324" t="s">
        <v>3400</v>
      </c>
      <c r="Z36" s="322" t="s">
        <v>3381</v>
      </c>
      <c r="AA36" s="392">
        <v>11583</v>
      </c>
    </row>
    <row r="37" spans="3:27" ht="13.8">
      <c r="C37" s="276" t="s">
        <v>932</v>
      </c>
      <c r="D37" s="371">
        <f>VLOOKUP(D8,$Q$7:$AA$592,11,FALSE)</f>
        <v>42704</v>
      </c>
      <c r="Q37" s="385">
        <f t="shared" si="0"/>
        <v>31</v>
      </c>
      <c r="R37" s="386" t="s">
        <v>1265</v>
      </c>
      <c r="S37" s="386" t="s">
        <v>1266</v>
      </c>
      <c r="T37" s="387" t="s">
        <v>1170</v>
      </c>
      <c r="U37" s="385" t="s">
        <v>1267</v>
      </c>
      <c r="V37" s="385" t="s">
        <v>2878</v>
      </c>
      <c r="W37" s="386" t="s">
        <v>2878</v>
      </c>
      <c r="X37" s="324" t="s">
        <v>3365</v>
      </c>
      <c r="Y37" s="324" t="s">
        <v>3400</v>
      </c>
      <c r="Z37" s="322" t="s">
        <v>3384</v>
      </c>
      <c r="AA37" s="392">
        <v>5794</v>
      </c>
    </row>
    <row r="38" spans="3:27" ht="13.8">
      <c r="C38" s="276" t="str">
        <f>"NET  VALUATION  TAXABLE  "&amp;D34</f>
        <v>NET  VALUATION  TAXABLE  2019</v>
      </c>
      <c r="D38" s="943">
        <v>2296155648</v>
      </c>
      <c r="Q38" s="385">
        <f t="shared" si="0"/>
        <v>32</v>
      </c>
      <c r="R38" s="386" t="s">
        <v>1268</v>
      </c>
      <c r="S38" s="386" t="s">
        <v>1269</v>
      </c>
      <c r="T38" s="387" t="s">
        <v>1192</v>
      </c>
      <c r="U38" s="385" t="s">
        <v>1270</v>
      </c>
      <c r="V38" s="385" t="s">
        <v>3348</v>
      </c>
      <c r="W38" s="386" t="s">
        <v>3348</v>
      </c>
      <c r="X38" s="324" t="s">
        <v>2858</v>
      </c>
      <c r="Y38" s="324" t="s">
        <v>3400</v>
      </c>
      <c r="Z38" s="322" t="s">
        <v>3381</v>
      </c>
      <c r="AA38" s="392">
        <v>2681</v>
      </c>
    </row>
    <row r="39" spans="3:27" ht="13.8">
      <c r="C39" s="276" t="s">
        <v>1142</v>
      </c>
      <c r="D39" s="363" t="str">
        <f>VLOOKUP($D$8,$Q$7:$R$592,2,FALSE)</f>
        <v>1219</v>
      </c>
      <c r="Q39" s="385">
        <f t="shared" si="0"/>
        <v>33</v>
      </c>
      <c r="R39" s="386" t="s">
        <v>1271</v>
      </c>
      <c r="S39" s="386" t="s">
        <v>1272</v>
      </c>
      <c r="T39" s="387" t="s">
        <v>1178</v>
      </c>
      <c r="U39" s="385" t="s">
        <v>1273</v>
      </c>
      <c r="V39" s="385" t="s">
        <v>2879</v>
      </c>
      <c r="W39" s="386" t="s">
        <v>2879</v>
      </c>
      <c r="X39" s="324" t="s">
        <v>3365</v>
      </c>
      <c r="Y39" s="324" t="s">
        <v>3400</v>
      </c>
      <c r="Z39" s="322" t="s">
        <v>3381</v>
      </c>
      <c r="AA39" s="392">
        <v>26764</v>
      </c>
    </row>
    <row r="40" spans="3:27" s="322" customFormat="1" ht="13.8">
      <c r="C40" s="324"/>
      <c r="D40" s="368"/>
      <c r="Q40" s="385">
        <f t="shared" si="0"/>
        <v>34</v>
      </c>
      <c r="R40" s="386" t="s">
        <v>1274</v>
      </c>
      <c r="S40" s="386" t="s">
        <v>1275</v>
      </c>
      <c r="T40" s="387" t="s">
        <v>1276</v>
      </c>
      <c r="U40" s="385" t="s">
        <v>1277</v>
      </c>
      <c r="V40" s="385" t="s">
        <v>1275</v>
      </c>
      <c r="W40" s="386" t="s">
        <v>3115</v>
      </c>
      <c r="X40" s="324" t="s">
        <v>3364</v>
      </c>
      <c r="Y40" s="324" t="s">
        <v>3400</v>
      </c>
      <c r="Z40" s="322" t="s">
        <v>3381</v>
      </c>
      <c r="AA40" s="392">
        <v>13183</v>
      </c>
    </row>
    <row r="41" spans="3:27" ht="13.8">
      <c r="C41" s="275"/>
      <c r="D41" s="366" t="str">
        <f>"ANNUAL FINANCIAL STATEMENT FOR THE YEAR "&amp;D34</f>
        <v>ANNUAL FINANCIAL STATEMENT FOR THE YEAR 2019</v>
      </c>
      <c r="Q41" s="385">
        <f t="shared" si="0"/>
        <v>35</v>
      </c>
      <c r="R41" s="386" t="s">
        <v>1278</v>
      </c>
      <c r="S41" s="386" t="s">
        <v>1279</v>
      </c>
      <c r="T41" s="387" t="s">
        <v>1229</v>
      </c>
      <c r="U41" s="385" t="s">
        <v>1280</v>
      </c>
      <c r="V41" s="385" t="s">
        <v>1279</v>
      </c>
      <c r="W41" s="386" t="s">
        <v>3116</v>
      </c>
      <c r="X41" s="324" t="s">
        <v>3364</v>
      </c>
      <c r="Y41" s="324" t="s">
        <v>3400</v>
      </c>
      <c r="Z41" s="322" t="s">
        <v>3382</v>
      </c>
      <c r="AA41" s="392">
        <v>41255</v>
      </c>
    </row>
    <row r="42" spans="3:27" ht="13.8">
      <c r="C42" s="277"/>
      <c r="D42" s="366" t="str">
        <f>"COUNTIES  - JANUARY  26, "&amp;D33</f>
        <v>COUNTIES  - JANUARY  26, 2020</v>
      </c>
      <c r="Q42" s="385">
        <f t="shared" si="0"/>
        <v>36</v>
      </c>
      <c r="R42" s="386" t="s">
        <v>1281</v>
      </c>
      <c r="S42" s="386" t="s">
        <v>1282</v>
      </c>
      <c r="T42" s="387" t="s">
        <v>1215</v>
      </c>
      <c r="U42" s="385" t="s">
        <v>1283</v>
      </c>
      <c r="V42" s="385" t="s">
        <v>2880</v>
      </c>
      <c r="W42" s="386" t="s">
        <v>2880</v>
      </c>
      <c r="X42" s="324" t="s">
        <v>3365</v>
      </c>
      <c r="Y42" s="324" t="s">
        <v>3400</v>
      </c>
      <c r="Z42" s="322" t="s">
        <v>3381</v>
      </c>
      <c r="AA42" s="392">
        <v>7588</v>
      </c>
    </row>
    <row r="43" spans="3:27" ht="13.8">
      <c r="C43" s="277"/>
      <c r="D43" s="366" t="str">
        <f>"MUNICIPALITIES  - FEBRUARY 10, "&amp;D33</f>
        <v>MUNICIPALITIES  - FEBRUARY 10, 2020</v>
      </c>
      <c r="Q43" s="385">
        <f t="shared" si="0"/>
        <v>37</v>
      </c>
      <c r="R43" s="386" t="s">
        <v>1284</v>
      </c>
      <c r="S43" s="386" t="s">
        <v>1285</v>
      </c>
      <c r="T43" s="387" t="s">
        <v>1215</v>
      </c>
      <c r="U43" s="385" t="s">
        <v>1286</v>
      </c>
      <c r="V43" s="385" t="s">
        <v>1285</v>
      </c>
      <c r="W43" s="386" t="s">
        <v>2880</v>
      </c>
      <c r="X43" s="324" t="s">
        <v>3364</v>
      </c>
      <c r="Y43" s="324" t="s">
        <v>3400</v>
      </c>
      <c r="Z43" s="322" t="s">
        <v>3384</v>
      </c>
      <c r="AA43" s="392">
        <v>5357</v>
      </c>
    </row>
    <row r="44" spans="3:27" ht="13.8">
      <c r="C44" s="277"/>
      <c r="D44" s="366" t="str">
        <f>"AS  AT  DECEMBER  31, "&amp;D34</f>
        <v>AS  AT  DECEMBER  31, 2019</v>
      </c>
      <c r="Q44" s="385">
        <f t="shared" si="0"/>
        <v>38</v>
      </c>
      <c r="R44" s="386" t="s">
        <v>1287</v>
      </c>
      <c r="S44" s="386" t="s">
        <v>1288</v>
      </c>
      <c r="T44" s="387" t="s">
        <v>1256</v>
      </c>
      <c r="U44" s="385" t="s">
        <v>1289</v>
      </c>
      <c r="V44" s="385" t="s">
        <v>1288</v>
      </c>
      <c r="W44" s="386" t="s">
        <v>3117</v>
      </c>
      <c r="X44" s="324" t="s">
        <v>3364</v>
      </c>
      <c r="Y44" s="324" t="s">
        <v>3401</v>
      </c>
      <c r="Z44" s="322" t="s">
        <v>3386</v>
      </c>
      <c r="AA44" s="392">
        <v>26652</v>
      </c>
    </row>
    <row r="45" spans="3:27" ht="13.8">
      <c r="C45" s="275"/>
      <c r="D45" s="366" t="str">
        <f>"Dec. 31, "&amp;D35</f>
        <v>Dec. 31, 2018</v>
      </c>
      <c r="Q45" s="385">
        <f t="shared" si="0"/>
        <v>39</v>
      </c>
      <c r="R45" s="386" t="s">
        <v>1290</v>
      </c>
      <c r="S45" s="386" t="s">
        <v>1291</v>
      </c>
      <c r="T45" s="387" t="s">
        <v>1256</v>
      </c>
      <c r="U45" s="385" t="s">
        <v>1292</v>
      </c>
      <c r="V45" s="385" t="s">
        <v>2881</v>
      </c>
      <c r="W45" s="386" t="s">
        <v>2881</v>
      </c>
      <c r="X45" s="324" t="s">
        <v>3365</v>
      </c>
      <c r="Y45" s="324" t="s">
        <v>3400</v>
      </c>
      <c r="Z45" s="322" t="s">
        <v>3381</v>
      </c>
      <c r="AA45" s="392">
        <v>7707</v>
      </c>
    </row>
    <row r="46" spans="3:27" ht="13.8">
      <c r="C46" s="275"/>
      <c r="D46" s="366" t="str">
        <f>"Dec. 31, "&amp;D34</f>
        <v>Dec. 31, 2019</v>
      </c>
      <c r="Q46" s="385">
        <f t="shared" si="0"/>
        <v>40</v>
      </c>
      <c r="R46" s="386" t="s">
        <v>1293</v>
      </c>
      <c r="S46" s="386" t="s">
        <v>1294</v>
      </c>
      <c r="T46" s="387" t="s">
        <v>1295</v>
      </c>
      <c r="U46" s="385" t="s">
        <v>1296</v>
      </c>
      <c r="V46" s="385" t="s">
        <v>1294</v>
      </c>
      <c r="W46" s="386" t="s">
        <v>3118</v>
      </c>
      <c r="X46" s="324" t="s">
        <v>3364</v>
      </c>
      <c r="Y46" s="324" t="s">
        <v>3401</v>
      </c>
      <c r="Z46" s="322" t="s">
        <v>3386</v>
      </c>
      <c r="AA46" s="392">
        <v>3979</v>
      </c>
    </row>
    <row r="47" spans="3:27" ht="13.8">
      <c r="C47" s="275"/>
      <c r="D47" s="366" t="str">
        <f>"Jan. 1, "&amp;D34</f>
        <v>Jan. 1, 2019</v>
      </c>
      <c r="E47" s="275"/>
      <c r="F47" s="275"/>
      <c r="G47" s="275"/>
      <c r="Q47" s="385">
        <f t="shared" si="0"/>
        <v>41</v>
      </c>
      <c r="R47" s="386" t="s">
        <v>1297</v>
      </c>
      <c r="S47" s="386" t="s">
        <v>1298</v>
      </c>
      <c r="T47" s="387" t="s">
        <v>1239</v>
      </c>
      <c r="U47" s="385" t="s">
        <v>1299</v>
      </c>
      <c r="V47" s="385" t="s">
        <v>3312</v>
      </c>
      <c r="W47" s="386" t="s">
        <v>3312</v>
      </c>
      <c r="X47" s="324" t="s">
        <v>3366</v>
      </c>
      <c r="Y47" s="324" t="s">
        <v>3400</v>
      </c>
      <c r="Z47" s="322" t="s">
        <v>3388</v>
      </c>
      <c r="AA47" s="392">
        <v>2577</v>
      </c>
    </row>
    <row r="48" spans="3:27" ht="13.8">
      <c r="C48" s="275"/>
      <c r="D48" s="367" t="str">
        <f>"YEAR  - "&amp;D35</f>
        <v>YEAR  - 2018</v>
      </c>
      <c r="E48" s="275"/>
      <c r="F48" s="275"/>
      <c r="G48" s="275"/>
      <c r="Q48" s="385">
        <f t="shared" si="0"/>
        <v>42</v>
      </c>
      <c r="R48" s="386" t="s">
        <v>1300</v>
      </c>
      <c r="S48" s="386" t="s">
        <v>1301</v>
      </c>
      <c r="T48" s="387" t="s">
        <v>1192</v>
      </c>
      <c r="U48" s="385" t="s">
        <v>1302</v>
      </c>
      <c r="V48" s="385" t="s">
        <v>1301</v>
      </c>
      <c r="W48" s="386" t="s">
        <v>3119</v>
      </c>
      <c r="X48" s="324" t="s">
        <v>3364</v>
      </c>
      <c r="Y48" s="324" t="s">
        <v>3401</v>
      </c>
      <c r="Z48" s="322" t="s">
        <v>3386</v>
      </c>
      <c r="AA48" s="392">
        <v>5967</v>
      </c>
    </row>
    <row r="49" spans="3:27" ht="13.8">
      <c r="D49" s="367" t="str">
        <f>"YEAR  - "&amp;D34</f>
        <v>YEAR  - 2019</v>
      </c>
      <c r="Q49" s="385">
        <f t="shared" si="0"/>
        <v>43</v>
      </c>
      <c r="R49" s="386" t="s">
        <v>1303</v>
      </c>
      <c r="S49" s="386" t="s">
        <v>1304</v>
      </c>
      <c r="T49" s="387" t="s">
        <v>1260</v>
      </c>
      <c r="U49" s="385" t="s">
        <v>1305</v>
      </c>
      <c r="V49" s="385" t="s">
        <v>1304</v>
      </c>
      <c r="W49" s="386" t="s">
        <v>3120</v>
      </c>
      <c r="X49" s="324" t="s">
        <v>3364</v>
      </c>
      <c r="Y49" s="324" t="s">
        <v>3400</v>
      </c>
      <c r="Z49" s="322" t="s">
        <v>3381</v>
      </c>
      <c r="AA49" s="392">
        <v>47315</v>
      </c>
    </row>
    <row r="50" spans="3:27" ht="13.8">
      <c r="Q50" s="385">
        <f t="shared" si="0"/>
        <v>44</v>
      </c>
      <c r="R50" s="386" t="s">
        <v>1306</v>
      </c>
      <c r="S50" s="386" t="s">
        <v>1307</v>
      </c>
      <c r="T50" s="387" t="s">
        <v>1308</v>
      </c>
      <c r="U50" s="385" t="s">
        <v>1309</v>
      </c>
      <c r="V50" s="385" t="s">
        <v>2882</v>
      </c>
      <c r="W50" s="386" t="s">
        <v>2882</v>
      </c>
      <c r="X50" s="324" t="s">
        <v>3365</v>
      </c>
      <c r="Y50" s="324" t="s">
        <v>3400</v>
      </c>
      <c r="Z50" s="322" t="s">
        <v>3381</v>
      </c>
      <c r="AA50" s="392">
        <v>7656</v>
      </c>
    </row>
    <row r="51" spans="3:27" s="322" customFormat="1" ht="13.8">
      <c r="C51" s="324"/>
      <c r="D51" s="324" t="s">
        <v>3788</v>
      </c>
      <c r="Q51" s="385">
        <f>Q50+1</f>
        <v>45</v>
      </c>
      <c r="R51" s="386" t="s">
        <v>1310</v>
      </c>
      <c r="S51" s="386" t="s">
        <v>1311</v>
      </c>
      <c r="T51" s="387" t="s">
        <v>1295</v>
      </c>
      <c r="U51" s="385" t="s">
        <v>1312</v>
      </c>
      <c r="V51" s="385" t="s">
        <v>2883</v>
      </c>
      <c r="W51" s="386" t="s">
        <v>2883</v>
      </c>
      <c r="X51" s="324" t="s">
        <v>3365</v>
      </c>
      <c r="Y51" s="324" t="s">
        <v>3400</v>
      </c>
      <c r="Z51" s="322" t="s">
        <v>3381</v>
      </c>
      <c r="AA51" s="392">
        <v>870</v>
      </c>
    </row>
    <row r="52" spans="3:27" ht="13.8">
      <c r="C52" s="324" t="s">
        <v>3684</v>
      </c>
      <c r="D52" s="912" t="s">
        <v>3799</v>
      </c>
      <c r="Q52" s="385">
        <f t="shared" si="0"/>
        <v>46</v>
      </c>
      <c r="R52" s="386" t="s">
        <v>1313</v>
      </c>
      <c r="S52" s="386" t="s">
        <v>1314</v>
      </c>
      <c r="T52" s="387" t="s">
        <v>1178</v>
      </c>
      <c r="U52" s="385" t="s">
        <v>1315</v>
      </c>
      <c r="V52" s="385" t="s">
        <v>2884</v>
      </c>
      <c r="W52" s="386" t="s">
        <v>2884</v>
      </c>
      <c r="X52" s="324" t="s">
        <v>3365</v>
      </c>
      <c r="Y52" s="324" t="s">
        <v>3400</v>
      </c>
      <c r="Z52" s="322" t="s">
        <v>3381</v>
      </c>
      <c r="AA52" s="392">
        <v>8187</v>
      </c>
    </row>
    <row r="53" spans="3:27" ht="13.8">
      <c r="C53" s="324" t="s">
        <v>3685</v>
      </c>
      <c r="D53" s="912"/>
      <c r="Q53" s="385">
        <f t="shared" si="0"/>
        <v>47</v>
      </c>
      <c r="R53" s="386" t="s">
        <v>1316</v>
      </c>
      <c r="S53" s="386" t="s">
        <v>1317</v>
      </c>
      <c r="T53" s="387" t="s">
        <v>1318</v>
      </c>
      <c r="U53" s="385" t="s">
        <v>1319</v>
      </c>
      <c r="V53" s="385" t="s">
        <v>3121</v>
      </c>
      <c r="W53" s="386" t="s">
        <v>3121</v>
      </c>
      <c r="X53" s="324" t="s">
        <v>2858</v>
      </c>
      <c r="Y53" s="324" t="s">
        <v>3403</v>
      </c>
      <c r="Z53" s="322" t="s">
        <v>3391</v>
      </c>
      <c r="AA53" s="392">
        <v>8347</v>
      </c>
    </row>
    <row r="54" spans="3:27" ht="13.8">
      <c r="C54" s="324" t="s">
        <v>3686</v>
      </c>
      <c r="D54" s="912"/>
      <c r="Q54" s="385">
        <f t="shared" si="0"/>
        <v>48</v>
      </c>
      <c r="R54" s="386" t="s">
        <v>1320</v>
      </c>
      <c r="S54" s="386" t="s">
        <v>1321</v>
      </c>
      <c r="T54" s="387" t="s">
        <v>1318</v>
      </c>
      <c r="U54" s="385" t="s">
        <v>1322</v>
      </c>
      <c r="V54" s="385" t="s">
        <v>1321</v>
      </c>
      <c r="W54" s="386" t="s">
        <v>3121</v>
      </c>
      <c r="X54" s="324" t="s">
        <v>3364</v>
      </c>
      <c r="Y54" s="324" t="s">
        <v>3401</v>
      </c>
      <c r="Z54" s="322" t="s">
        <v>3386</v>
      </c>
      <c r="AA54" s="392">
        <v>4263</v>
      </c>
    </row>
    <row r="55" spans="3:27" ht="13.8">
      <c r="C55" s="324" t="s">
        <v>3687</v>
      </c>
      <c r="D55" s="912"/>
      <c r="Q55" s="385">
        <f t="shared" si="0"/>
        <v>49</v>
      </c>
      <c r="R55" s="386" t="s">
        <v>1323</v>
      </c>
      <c r="S55" s="386" t="s">
        <v>1324</v>
      </c>
      <c r="T55" s="387" t="s">
        <v>1239</v>
      </c>
      <c r="U55" s="385" t="s">
        <v>1325</v>
      </c>
      <c r="V55" s="385" t="s">
        <v>3122</v>
      </c>
      <c r="W55" s="386" t="s">
        <v>3122</v>
      </c>
      <c r="X55" s="324" t="s">
        <v>3366</v>
      </c>
      <c r="Y55" s="324" t="s">
        <v>3402</v>
      </c>
      <c r="Z55" s="322" t="s">
        <v>3385</v>
      </c>
      <c r="AA55" s="392">
        <v>3924</v>
      </c>
    </row>
    <row r="56" spans="3:27" ht="13.8">
      <c r="C56" s="324" t="s">
        <v>3688</v>
      </c>
      <c r="D56" s="912"/>
      <c r="Q56" s="385">
        <f t="shared" si="0"/>
        <v>50</v>
      </c>
      <c r="R56" s="386" t="s">
        <v>1326</v>
      </c>
      <c r="S56" s="386" t="s">
        <v>1327</v>
      </c>
      <c r="T56" s="387" t="s">
        <v>1239</v>
      </c>
      <c r="U56" s="385" t="s">
        <v>1328</v>
      </c>
      <c r="V56" s="385" t="s">
        <v>1327</v>
      </c>
      <c r="W56" s="386" t="s">
        <v>3122</v>
      </c>
      <c r="X56" s="324" t="s">
        <v>3364</v>
      </c>
      <c r="Y56" s="324" t="s">
        <v>3401</v>
      </c>
      <c r="Z56" s="322" t="s">
        <v>3386</v>
      </c>
      <c r="AA56" s="392">
        <v>11367</v>
      </c>
    </row>
    <row r="57" spans="3:27" ht="13.8">
      <c r="C57" s="324" t="s">
        <v>3689</v>
      </c>
      <c r="D57" s="1486"/>
      <c r="Q57" s="385">
        <f t="shared" si="0"/>
        <v>51</v>
      </c>
      <c r="R57" s="386" t="s">
        <v>1329</v>
      </c>
      <c r="S57" s="386" t="s">
        <v>1330</v>
      </c>
      <c r="T57" s="387" t="s">
        <v>1256</v>
      </c>
      <c r="U57" s="385" t="s">
        <v>1331</v>
      </c>
      <c r="V57" s="385" t="s">
        <v>2885</v>
      </c>
      <c r="W57" s="386" t="s">
        <v>2885</v>
      </c>
      <c r="X57" s="324" t="s">
        <v>3365</v>
      </c>
      <c r="Y57" s="324" t="s">
        <v>3400</v>
      </c>
      <c r="Z57" s="322" t="s">
        <v>3381</v>
      </c>
      <c r="AA57" s="392">
        <v>10402</v>
      </c>
    </row>
    <row r="58" spans="3:27" ht="13.8">
      <c r="Q58" s="385">
        <f t="shared" si="0"/>
        <v>52</v>
      </c>
      <c r="R58" s="386" t="s">
        <v>1332</v>
      </c>
      <c r="S58" s="386" t="s">
        <v>1333</v>
      </c>
      <c r="T58" s="387" t="s">
        <v>1170</v>
      </c>
      <c r="U58" s="385" t="s">
        <v>1334</v>
      </c>
      <c r="V58" s="385" t="s">
        <v>2886</v>
      </c>
      <c r="W58" s="386" t="s">
        <v>2886</v>
      </c>
      <c r="X58" s="324" t="s">
        <v>3365</v>
      </c>
      <c r="Y58" s="324" t="s">
        <v>3400</v>
      </c>
      <c r="Z58" s="322" t="s">
        <v>3384</v>
      </c>
      <c r="AA58" s="392">
        <v>4298</v>
      </c>
    </row>
    <row r="59" spans="3:27" ht="13.8">
      <c r="Q59" s="385">
        <f t="shared" si="0"/>
        <v>53</v>
      </c>
      <c r="R59" s="386" t="s">
        <v>1335</v>
      </c>
      <c r="S59" s="386" t="s">
        <v>1336</v>
      </c>
      <c r="T59" s="387" t="s">
        <v>1256</v>
      </c>
      <c r="U59" s="385" t="s">
        <v>1337</v>
      </c>
      <c r="V59" s="385" t="s">
        <v>1336</v>
      </c>
      <c r="W59" s="386" t="s">
        <v>3123</v>
      </c>
      <c r="X59" s="324" t="s">
        <v>3364</v>
      </c>
      <c r="Y59" s="324" t="s">
        <v>3401</v>
      </c>
      <c r="Z59" s="322" t="s">
        <v>3386</v>
      </c>
      <c r="AA59" s="392">
        <v>14459</v>
      </c>
    </row>
    <row r="60" spans="3:27" ht="13.8">
      <c r="Q60" s="385">
        <f t="shared" si="0"/>
        <v>54</v>
      </c>
      <c r="R60" s="386" t="s">
        <v>1338</v>
      </c>
      <c r="S60" s="386" t="s">
        <v>1339</v>
      </c>
      <c r="T60" s="387" t="s">
        <v>1199</v>
      </c>
      <c r="U60" s="385" t="s">
        <v>1340</v>
      </c>
      <c r="V60" s="385" t="s">
        <v>2887</v>
      </c>
      <c r="W60" s="386" t="s">
        <v>2887</v>
      </c>
      <c r="X60" s="324" t="s">
        <v>3365</v>
      </c>
      <c r="Y60" s="324" t="s">
        <v>3400</v>
      </c>
      <c r="Z60" s="322" t="s">
        <v>3381</v>
      </c>
      <c r="AA60" s="392">
        <v>841</v>
      </c>
    </row>
    <row r="61" spans="3:27" ht="13.8">
      <c r="Q61" s="385">
        <f t="shared" si="0"/>
        <v>55</v>
      </c>
      <c r="R61" s="386" t="s">
        <v>1341</v>
      </c>
      <c r="S61" s="386" t="s">
        <v>1342</v>
      </c>
      <c r="T61" s="387" t="s">
        <v>1229</v>
      </c>
      <c r="U61" s="385" t="s">
        <v>1343</v>
      </c>
      <c r="V61" s="385" t="s">
        <v>1342</v>
      </c>
      <c r="W61" s="386" t="s">
        <v>3124</v>
      </c>
      <c r="X61" s="324" t="s">
        <v>3364</v>
      </c>
      <c r="Y61" s="324" t="s">
        <v>3400</v>
      </c>
      <c r="Z61" s="322" t="s">
        <v>3382</v>
      </c>
      <c r="AA61" s="392">
        <v>75072</v>
      </c>
    </row>
    <row r="62" spans="3:27" ht="13.8">
      <c r="Q62" s="385">
        <f t="shared" si="0"/>
        <v>56</v>
      </c>
      <c r="R62" s="386" t="s">
        <v>1344</v>
      </c>
      <c r="S62" s="386" t="s">
        <v>1345</v>
      </c>
      <c r="T62" s="387" t="s">
        <v>1346</v>
      </c>
      <c r="U62" s="385" t="s">
        <v>1347</v>
      </c>
      <c r="V62" s="385" t="s">
        <v>3313</v>
      </c>
      <c r="W62" s="386" t="s">
        <v>3313</v>
      </c>
      <c r="X62" s="324" t="s">
        <v>3366</v>
      </c>
      <c r="Y62" s="324" t="s">
        <v>3400</v>
      </c>
      <c r="Z62" s="322" t="s">
        <v>3389</v>
      </c>
      <c r="AA62" s="392">
        <v>25349</v>
      </c>
    </row>
    <row r="63" spans="3:27" ht="13.8">
      <c r="Q63" s="385">
        <f t="shared" si="0"/>
        <v>57</v>
      </c>
      <c r="R63" s="386" t="s">
        <v>1348</v>
      </c>
      <c r="S63" s="386" t="s">
        <v>1349</v>
      </c>
      <c r="T63" s="387" t="s">
        <v>1256</v>
      </c>
      <c r="U63" s="385" t="s">
        <v>1350</v>
      </c>
      <c r="V63" s="385" t="s">
        <v>1349</v>
      </c>
      <c r="W63" s="386" t="s">
        <v>3125</v>
      </c>
      <c r="X63" s="324" t="s">
        <v>3364</v>
      </c>
      <c r="Y63" s="324" t="s">
        <v>3400</v>
      </c>
      <c r="Z63" s="322" t="s">
        <v>3389</v>
      </c>
      <c r="AA63" s="392">
        <v>44464</v>
      </c>
    </row>
    <row r="64" spans="3:27" ht="13.8">
      <c r="Q64" s="385">
        <f t="shared" si="0"/>
        <v>58</v>
      </c>
      <c r="R64" s="386" t="s">
        <v>1351</v>
      </c>
      <c r="S64" s="386" t="s">
        <v>1352</v>
      </c>
      <c r="T64" s="387" t="s">
        <v>1170</v>
      </c>
      <c r="U64" s="385" t="s">
        <v>1353</v>
      </c>
      <c r="V64" s="385" t="s">
        <v>2888</v>
      </c>
      <c r="W64" s="386" t="s">
        <v>2888</v>
      </c>
      <c r="X64" s="324" t="s">
        <v>3365</v>
      </c>
      <c r="Y64" s="324" t="s">
        <v>3400</v>
      </c>
      <c r="Z64" s="322" t="s">
        <v>3381</v>
      </c>
      <c r="AA64" s="392">
        <v>4774</v>
      </c>
    </row>
    <row r="65" spans="17:27" ht="13.8">
      <c r="Q65" s="385">
        <f t="shared" si="0"/>
        <v>59</v>
      </c>
      <c r="R65" s="386" t="s">
        <v>1354</v>
      </c>
      <c r="S65" s="386" t="s">
        <v>1355</v>
      </c>
      <c r="T65" s="387" t="s">
        <v>1174</v>
      </c>
      <c r="U65" s="385" t="s">
        <v>1356</v>
      </c>
      <c r="V65" s="385" t="s">
        <v>3314</v>
      </c>
      <c r="W65" s="386" t="s">
        <v>3314</v>
      </c>
      <c r="X65" s="324" t="s">
        <v>3366</v>
      </c>
      <c r="Y65" s="324" t="s">
        <v>3400</v>
      </c>
      <c r="Z65" s="322" t="s">
        <v>3390</v>
      </c>
      <c r="AA65" s="392">
        <v>9450</v>
      </c>
    </row>
    <row r="66" spans="17:27" ht="13.8">
      <c r="Q66" s="385">
        <f t="shared" si="0"/>
        <v>60</v>
      </c>
      <c r="R66" s="386" t="s">
        <v>1357</v>
      </c>
      <c r="S66" s="386" t="s">
        <v>1358</v>
      </c>
      <c r="T66" s="387" t="s">
        <v>1215</v>
      </c>
      <c r="U66" s="385" t="s">
        <v>1359</v>
      </c>
      <c r="V66" s="385" t="s">
        <v>2889</v>
      </c>
      <c r="W66" s="386" t="s">
        <v>2889</v>
      </c>
      <c r="X66" s="324" t="s">
        <v>3365</v>
      </c>
      <c r="Y66" s="324" t="s">
        <v>3400</v>
      </c>
      <c r="Z66" s="322" t="s">
        <v>3381</v>
      </c>
      <c r="AA66" s="392">
        <v>1955</v>
      </c>
    </row>
    <row r="67" spans="17:27" ht="13.8">
      <c r="Q67" s="385">
        <f t="shared" si="0"/>
        <v>61</v>
      </c>
      <c r="R67" s="386" t="s">
        <v>1360</v>
      </c>
      <c r="S67" s="386" t="s">
        <v>1361</v>
      </c>
      <c r="T67" s="387" t="s">
        <v>1174</v>
      </c>
      <c r="U67" s="385" t="s">
        <v>1362</v>
      </c>
      <c r="V67" s="385" t="s">
        <v>2890</v>
      </c>
      <c r="W67" s="386" t="s">
        <v>2890</v>
      </c>
      <c r="X67" s="324" t="s">
        <v>3365</v>
      </c>
      <c r="Y67" s="324" t="s">
        <v>3400</v>
      </c>
      <c r="Z67" s="322" t="s">
        <v>3381</v>
      </c>
      <c r="AA67" s="392">
        <v>4603</v>
      </c>
    </row>
    <row r="68" spans="17:27" ht="13.8">
      <c r="Q68" s="385">
        <f t="shared" si="0"/>
        <v>62</v>
      </c>
      <c r="R68" s="386" t="s">
        <v>1363</v>
      </c>
      <c r="S68" s="386" t="s">
        <v>1364</v>
      </c>
      <c r="T68" s="387" t="s">
        <v>1174</v>
      </c>
      <c r="U68" s="385" t="s">
        <v>1365</v>
      </c>
      <c r="V68" s="385" t="s">
        <v>1364</v>
      </c>
      <c r="W68" s="386" t="s">
        <v>3126</v>
      </c>
      <c r="X68" s="324" t="s">
        <v>3364</v>
      </c>
      <c r="Y68" s="324" t="s">
        <v>3401</v>
      </c>
      <c r="Z68" s="322" t="s">
        <v>3386</v>
      </c>
      <c r="AA68" s="392">
        <v>7570</v>
      </c>
    </row>
    <row r="69" spans="17:27" ht="13.8">
      <c r="Q69" s="385">
        <f t="shared" si="0"/>
        <v>63</v>
      </c>
      <c r="R69" s="386" t="s">
        <v>1366</v>
      </c>
      <c r="S69" s="386" t="s">
        <v>1367</v>
      </c>
      <c r="T69" s="387" t="s">
        <v>1239</v>
      </c>
      <c r="U69" s="385" t="s">
        <v>1368</v>
      </c>
      <c r="V69" s="385" t="s">
        <v>1239</v>
      </c>
      <c r="W69" s="386" t="s">
        <v>1239</v>
      </c>
      <c r="X69" s="324" t="s">
        <v>3366</v>
      </c>
      <c r="Y69" s="324" t="s">
        <v>3400</v>
      </c>
      <c r="Z69" s="322" t="s">
        <v>3382</v>
      </c>
      <c r="AA69" s="392">
        <v>9920</v>
      </c>
    </row>
    <row r="70" spans="17:27" ht="13.8">
      <c r="Q70" s="385">
        <f t="shared" si="0"/>
        <v>64</v>
      </c>
      <c r="R70" s="386" t="s">
        <v>1369</v>
      </c>
      <c r="S70" s="386" t="s">
        <v>1370</v>
      </c>
      <c r="T70" s="387" t="s">
        <v>1239</v>
      </c>
      <c r="U70" s="385" t="s">
        <v>1371</v>
      </c>
      <c r="V70" s="385" t="s">
        <v>1370</v>
      </c>
      <c r="W70" s="386" t="s">
        <v>1239</v>
      </c>
      <c r="X70" s="324" t="s">
        <v>3364</v>
      </c>
      <c r="Y70" s="324" t="s">
        <v>3400</v>
      </c>
      <c r="Z70" s="322" t="s">
        <v>3382</v>
      </c>
      <c r="AA70" s="392">
        <v>22594</v>
      </c>
    </row>
    <row r="71" spans="17:27" ht="13.8">
      <c r="Q71" s="385">
        <f t="shared" si="0"/>
        <v>65</v>
      </c>
      <c r="R71" s="386" t="s">
        <v>1372</v>
      </c>
      <c r="S71" s="386" t="s">
        <v>1373</v>
      </c>
      <c r="T71" s="387" t="s">
        <v>1318</v>
      </c>
      <c r="U71" s="385" t="s">
        <v>1374</v>
      </c>
      <c r="V71" s="385" t="s">
        <v>2891</v>
      </c>
      <c r="W71" s="386" t="s">
        <v>2891</v>
      </c>
      <c r="X71" s="324" t="s">
        <v>3365</v>
      </c>
      <c r="Y71" s="324" t="s">
        <v>3400</v>
      </c>
      <c r="Z71" s="322" t="s">
        <v>3381</v>
      </c>
      <c r="AA71" s="392">
        <v>7539</v>
      </c>
    </row>
    <row r="72" spans="17:27" ht="13.8">
      <c r="Q72" s="385">
        <f t="shared" si="0"/>
        <v>66</v>
      </c>
      <c r="R72" s="386" t="s">
        <v>1375</v>
      </c>
      <c r="S72" s="386" t="s">
        <v>1376</v>
      </c>
      <c r="T72" s="387" t="s">
        <v>1199</v>
      </c>
      <c r="U72" s="385" t="s">
        <v>1377</v>
      </c>
      <c r="V72" s="385" t="s">
        <v>1376</v>
      </c>
      <c r="W72" s="386" t="s">
        <v>3127</v>
      </c>
      <c r="X72" s="324" t="s">
        <v>3364</v>
      </c>
      <c r="Y72" s="324" t="s">
        <v>3400</v>
      </c>
      <c r="Z72" s="322" t="s">
        <v>3384</v>
      </c>
      <c r="AA72" s="392">
        <v>8350</v>
      </c>
    </row>
    <row r="73" spans="17:27" ht="13.8">
      <c r="Q73" s="385">
        <f t="shared" ref="Q73:Q136" si="1">Q72+1</f>
        <v>67</v>
      </c>
      <c r="R73" s="386" t="s">
        <v>1378</v>
      </c>
      <c r="S73" s="386" t="s">
        <v>1379</v>
      </c>
      <c r="T73" s="387" t="s">
        <v>1260</v>
      </c>
      <c r="U73" s="385" t="s">
        <v>1380</v>
      </c>
      <c r="V73" s="385" t="s">
        <v>1379</v>
      </c>
      <c r="W73" s="386" t="s">
        <v>3128</v>
      </c>
      <c r="X73" s="324" t="s">
        <v>3364</v>
      </c>
      <c r="Y73" s="324" t="s">
        <v>3400</v>
      </c>
      <c r="Z73" s="322" t="s">
        <v>3381</v>
      </c>
      <c r="AA73" s="392">
        <v>7822</v>
      </c>
    </row>
    <row r="74" spans="17:27" ht="13.8">
      <c r="Q74" s="385">
        <f t="shared" si="1"/>
        <v>68</v>
      </c>
      <c r="R74" s="386" t="s">
        <v>1381</v>
      </c>
      <c r="S74" s="386" t="s">
        <v>1382</v>
      </c>
      <c r="T74" s="387" t="s">
        <v>1295</v>
      </c>
      <c r="U74" s="385" t="s">
        <v>1383</v>
      </c>
      <c r="V74" s="385" t="s">
        <v>2892</v>
      </c>
      <c r="W74" s="386" t="s">
        <v>2892</v>
      </c>
      <c r="X74" s="324" t="s">
        <v>3365</v>
      </c>
      <c r="Y74" s="324" t="s">
        <v>3400</v>
      </c>
      <c r="Z74" s="322" t="s">
        <v>3381</v>
      </c>
      <c r="AA74" s="392">
        <v>1076</v>
      </c>
    </row>
    <row r="75" spans="17:27" ht="13.8">
      <c r="Q75" s="385">
        <f t="shared" si="1"/>
        <v>69</v>
      </c>
      <c r="R75" s="386" t="s">
        <v>1384</v>
      </c>
      <c r="S75" s="386" t="s">
        <v>1385</v>
      </c>
      <c r="T75" s="387" t="s">
        <v>1215</v>
      </c>
      <c r="U75" s="385" t="s">
        <v>1386</v>
      </c>
      <c r="V75" s="385" t="s">
        <v>1215</v>
      </c>
      <c r="W75" s="386" t="s">
        <v>1215</v>
      </c>
      <c r="X75" s="324" t="s">
        <v>3366</v>
      </c>
      <c r="Y75" s="324" t="s">
        <v>3400</v>
      </c>
      <c r="Z75" s="322" t="s">
        <v>3382</v>
      </c>
      <c r="AA75" s="392">
        <v>77344</v>
      </c>
    </row>
    <row r="76" spans="17:27" ht="13.8">
      <c r="Q76" s="385">
        <f t="shared" si="1"/>
        <v>70</v>
      </c>
      <c r="R76" s="386" t="s">
        <v>1387</v>
      </c>
      <c r="S76" s="386" t="s">
        <v>1388</v>
      </c>
      <c r="T76" s="387" t="s">
        <v>1222</v>
      </c>
      <c r="U76" s="385" t="s">
        <v>1389</v>
      </c>
      <c r="V76" s="385" t="s">
        <v>1222</v>
      </c>
      <c r="W76" s="386" t="s">
        <v>1222</v>
      </c>
      <c r="X76" s="324" t="s">
        <v>3366</v>
      </c>
      <c r="Y76" s="324" t="s">
        <v>3400</v>
      </c>
      <c r="Z76" s="322" t="s">
        <v>3387</v>
      </c>
      <c r="AA76" s="392">
        <v>3607</v>
      </c>
    </row>
    <row r="77" spans="17:27" ht="13.8">
      <c r="Q77" s="385">
        <f t="shared" si="1"/>
        <v>71</v>
      </c>
      <c r="R77" s="386" t="s">
        <v>1390</v>
      </c>
      <c r="S77" s="386" t="s">
        <v>1391</v>
      </c>
      <c r="T77" s="387" t="s">
        <v>1222</v>
      </c>
      <c r="U77" s="385" t="s">
        <v>1392</v>
      </c>
      <c r="V77" s="385" t="s">
        <v>2893</v>
      </c>
      <c r="W77" s="386" t="s">
        <v>2893</v>
      </c>
      <c r="X77" s="324" t="s">
        <v>3365</v>
      </c>
      <c r="Y77" s="324" t="s">
        <v>3402</v>
      </c>
      <c r="Z77" s="322" t="s">
        <v>3385</v>
      </c>
      <c r="AA77" s="392">
        <v>291</v>
      </c>
    </row>
    <row r="78" spans="17:27" ht="13.8">
      <c r="Q78" s="385">
        <f t="shared" si="1"/>
        <v>72</v>
      </c>
      <c r="R78" s="386" t="s">
        <v>1393</v>
      </c>
      <c r="S78" s="386" t="s">
        <v>1394</v>
      </c>
      <c r="T78" s="387" t="s">
        <v>1178</v>
      </c>
      <c r="U78" s="385" t="s">
        <v>1395</v>
      </c>
      <c r="V78" s="385" t="s">
        <v>2894</v>
      </c>
      <c r="W78" s="386" t="s">
        <v>2894</v>
      </c>
      <c r="X78" s="324" t="s">
        <v>3365</v>
      </c>
      <c r="Y78" s="324" t="s">
        <v>3400</v>
      </c>
      <c r="Z78" s="322" t="s">
        <v>3381</v>
      </c>
      <c r="AA78" s="392">
        <v>6127</v>
      </c>
    </row>
    <row r="79" spans="17:27" ht="13.8">
      <c r="Q79" s="385">
        <f t="shared" si="1"/>
        <v>73</v>
      </c>
      <c r="R79" s="386" t="s">
        <v>1396</v>
      </c>
      <c r="S79" s="386" t="s">
        <v>1397</v>
      </c>
      <c r="T79" s="387" t="s">
        <v>1188</v>
      </c>
      <c r="U79" s="385" t="s">
        <v>1398</v>
      </c>
      <c r="V79" s="385" t="s">
        <v>1397</v>
      </c>
      <c r="W79" s="386" t="s">
        <v>3129</v>
      </c>
      <c r="X79" s="324" t="s">
        <v>3364</v>
      </c>
      <c r="Y79" s="324" t="s">
        <v>3401</v>
      </c>
      <c r="Z79" s="322" t="s">
        <v>3386</v>
      </c>
      <c r="AA79" s="392">
        <v>8049</v>
      </c>
    </row>
    <row r="80" spans="17:27" ht="13.8">
      <c r="Q80" s="385">
        <f t="shared" si="1"/>
        <v>74</v>
      </c>
      <c r="R80" s="386" t="s">
        <v>1399</v>
      </c>
      <c r="S80" s="386" t="s">
        <v>1400</v>
      </c>
      <c r="T80" s="387" t="s">
        <v>1401</v>
      </c>
      <c r="U80" s="385" t="s">
        <v>1402</v>
      </c>
      <c r="V80" s="385" t="s">
        <v>2895</v>
      </c>
      <c r="W80" s="386" t="s">
        <v>2895</v>
      </c>
      <c r="X80" s="324" t="s">
        <v>3365</v>
      </c>
      <c r="Y80" s="324" t="s">
        <v>3400</v>
      </c>
      <c r="Z80" s="322" t="s">
        <v>3381</v>
      </c>
      <c r="AA80" s="392">
        <v>22844</v>
      </c>
    </row>
    <row r="81" spans="17:27" ht="13.8">
      <c r="Q81" s="385">
        <f t="shared" si="1"/>
        <v>75</v>
      </c>
      <c r="R81" s="386" t="s">
        <v>1403</v>
      </c>
      <c r="S81" s="386" t="s">
        <v>1404</v>
      </c>
      <c r="T81" s="387" t="s">
        <v>1260</v>
      </c>
      <c r="U81" s="385" t="s">
        <v>1405</v>
      </c>
      <c r="V81" s="385" t="s">
        <v>1404</v>
      </c>
      <c r="W81" s="386" t="s">
        <v>3130</v>
      </c>
      <c r="X81" s="324" t="s">
        <v>3364</v>
      </c>
      <c r="Y81" s="324" t="s">
        <v>3400</v>
      </c>
      <c r="Z81" s="322" t="s">
        <v>3387</v>
      </c>
      <c r="AA81" s="392">
        <v>12411</v>
      </c>
    </row>
    <row r="82" spans="17:27" ht="13.8">
      <c r="Q82" s="385">
        <f t="shared" si="1"/>
        <v>76</v>
      </c>
      <c r="R82" s="386" t="s">
        <v>1406</v>
      </c>
      <c r="S82" s="386" t="s">
        <v>1407</v>
      </c>
      <c r="T82" s="387" t="s">
        <v>1318</v>
      </c>
      <c r="U82" s="385" t="s">
        <v>1408</v>
      </c>
      <c r="V82" s="385" t="s">
        <v>2896</v>
      </c>
      <c r="W82" s="386" t="s">
        <v>2896</v>
      </c>
      <c r="X82" s="324" t="s">
        <v>3365</v>
      </c>
      <c r="Y82" s="324" t="s">
        <v>3400</v>
      </c>
      <c r="Z82" s="322" t="s">
        <v>3381</v>
      </c>
      <c r="AA82" s="392">
        <v>8962</v>
      </c>
    </row>
    <row r="83" spans="17:27" ht="13.8">
      <c r="Q83" s="385">
        <f t="shared" si="1"/>
        <v>77</v>
      </c>
      <c r="R83" s="386" t="s">
        <v>1409</v>
      </c>
      <c r="S83" s="386" t="s">
        <v>1410</v>
      </c>
      <c r="T83" s="387" t="s">
        <v>1318</v>
      </c>
      <c r="U83" s="385" t="s">
        <v>1411</v>
      </c>
      <c r="V83" s="385" t="s">
        <v>1410</v>
      </c>
      <c r="W83" s="386" t="s">
        <v>2896</v>
      </c>
      <c r="X83" s="324" t="s">
        <v>3364</v>
      </c>
      <c r="Y83" s="324" t="s">
        <v>3401</v>
      </c>
      <c r="Z83" s="322" t="s">
        <v>3386</v>
      </c>
      <c r="AA83" s="392">
        <v>10452</v>
      </c>
    </row>
    <row r="84" spans="17:27" ht="13.8">
      <c r="Q84" s="385">
        <f t="shared" si="1"/>
        <v>78</v>
      </c>
      <c r="R84" s="386" t="s">
        <v>1412</v>
      </c>
      <c r="S84" s="386" t="s">
        <v>1413</v>
      </c>
      <c r="T84" s="387" t="s">
        <v>1215</v>
      </c>
      <c r="U84" s="385" t="s">
        <v>1414</v>
      </c>
      <c r="V84" s="385" t="s">
        <v>1413</v>
      </c>
      <c r="W84" s="386" t="s">
        <v>3131</v>
      </c>
      <c r="X84" s="324" t="s">
        <v>3364</v>
      </c>
      <c r="Y84" s="324" t="s">
        <v>3400</v>
      </c>
      <c r="Z84" s="322" t="s">
        <v>3382</v>
      </c>
      <c r="AA84" s="392">
        <v>71045</v>
      </c>
    </row>
    <row r="85" spans="17:27" ht="13.8">
      <c r="Q85" s="385">
        <f t="shared" si="1"/>
        <v>79</v>
      </c>
      <c r="R85" s="386" t="s">
        <v>1415</v>
      </c>
      <c r="S85" s="386" t="s">
        <v>1416</v>
      </c>
      <c r="T85" s="387" t="s">
        <v>1215</v>
      </c>
      <c r="U85" s="385" t="s">
        <v>1417</v>
      </c>
      <c r="V85" s="385" t="s">
        <v>2897</v>
      </c>
      <c r="W85" s="386" t="s">
        <v>2897</v>
      </c>
      <c r="X85" s="324" t="s">
        <v>3365</v>
      </c>
      <c r="Y85" s="324" t="s">
        <v>3400</v>
      </c>
      <c r="Z85" s="322" t="s">
        <v>3381</v>
      </c>
      <c r="AA85" s="392">
        <v>1634</v>
      </c>
    </row>
    <row r="86" spans="17:27" ht="13.8">
      <c r="Q86" s="385">
        <f t="shared" si="1"/>
        <v>80</v>
      </c>
      <c r="R86" s="386" t="s">
        <v>1418</v>
      </c>
      <c r="S86" s="386" t="s">
        <v>1419</v>
      </c>
      <c r="T86" s="387" t="s">
        <v>1318</v>
      </c>
      <c r="U86" s="385" t="s">
        <v>1420</v>
      </c>
      <c r="V86" s="385" t="s">
        <v>2898</v>
      </c>
      <c r="W86" s="386" t="s">
        <v>2898</v>
      </c>
      <c r="X86" s="324" t="s">
        <v>3365</v>
      </c>
      <c r="Y86" s="324" t="s">
        <v>3400</v>
      </c>
      <c r="Z86" s="322" t="s">
        <v>3381</v>
      </c>
      <c r="AA86" s="392">
        <v>1649</v>
      </c>
    </row>
    <row r="87" spans="17:27" ht="13.8">
      <c r="Q87" s="385">
        <f t="shared" si="1"/>
        <v>81</v>
      </c>
      <c r="R87" s="386" t="s">
        <v>1421</v>
      </c>
      <c r="S87" s="386" t="s">
        <v>1422</v>
      </c>
      <c r="T87" s="387" t="s">
        <v>1318</v>
      </c>
      <c r="U87" s="385" t="s">
        <v>1423</v>
      </c>
      <c r="V87" s="385" t="s">
        <v>1422</v>
      </c>
      <c r="W87" s="386" t="s">
        <v>2898</v>
      </c>
      <c r="X87" s="324" t="s">
        <v>3364</v>
      </c>
      <c r="Y87" s="324" t="s">
        <v>3400</v>
      </c>
      <c r="Z87" s="322" t="s">
        <v>3384</v>
      </c>
      <c r="AA87" s="392">
        <v>7838</v>
      </c>
    </row>
    <row r="88" spans="17:27" ht="13.8">
      <c r="Q88" s="385">
        <f t="shared" si="1"/>
        <v>82</v>
      </c>
      <c r="R88" s="386" t="s">
        <v>1424</v>
      </c>
      <c r="S88" s="386" t="s">
        <v>1425</v>
      </c>
      <c r="T88" s="387" t="s">
        <v>1239</v>
      </c>
      <c r="U88" s="385" t="s">
        <v>1426</v>
      </c>
      <c r="V88" s="385" t="s">
        <v>1425</v>
      </c>
      <c r="W88" s="386" t="s">
        <v>3132</v>
      </c>
      <c r="X88" s="324" t="s">
        <v>3364</v>
      </c>
      <c r="Y88" s="324" t="s">
        <v>3401</v>
      </c>
      <c r="Z88" s="322" t="s">
        <v>3383</v>
      </c>
      <c r="AA88" s="392">
        <v>7699</v>
      </c>
    </row>
    <row r="89" spans="17:27" ht="13.8">
      <c r="Q89" s="385">
        <f t="shared" si="1"/>
        <v>83</v>
      </c>
      <c r="R89" s="386" t="s">
        <v>1427</v>
      </c>
      <c r="S89" s="386" t="s">
        <v>1428</v>
      </c>
      <c r="T89" s="387" t="s">
        <v>1239</v>
      </c>
      <c r="U89" s="385" t="s">
        <v>1429</v>
      </c>
      <c r="V89" s="385" t="s">
        <v>1428</v>
      </c>
      <c r="W89" s="386" t="s">
        <v>3133</v>
      </c>
      <c r="X89" s="324" t="s">
        <v>3364</v>
      </c>
      <c r="Y89" s="324" t="s">
        <v>3401</v>
      </c>
      <c r="Z89" s="322" t="s">
        <v>3386</v>
      </c>
      <c r="AA89" s="392">
        <v>15569</v>
      </c>
    </row>
    <row r="90" spans="17:27" ht="13.8">
      <c r="Q90" s="385">
        <f t="shared" si="1"/>
        <v>84</v>
      </c>
      <c r="R90" s="386" t="s">
        <v>1430</v>
      </c>
      <c r="S90" s="386" t="s">
        <v>1431</v>
      </c>
      <c r="T90" s="387" t="s">
        <v>1276</v>
      </c>
      <c r="U90" s="385" t="s">
        <v>1432</v>
      </c>
      <c r="V90" s="385" t="s">
        <v>1431</v>
      </c>
      <c r="W90" s="386" t="s">
        <v>3134</v>
      </c>
      <c r="X90" s="324" t="s">
        <v>3364</v>
      </c>
      <c r="Y90" s="324" t="s">
        <v>3400</v>
      </c>
      <c r="Z90" s="322" t="s">
        <v>3381</v>
      </c>
      <c r="AA90" s="392">
        <v>14756</v>
      </c>
    </row>
    <row r="91" spans="17:27" ht="13.8">
      <c r="Q91" s="385">
        <f t="shared" si="1"/>
        <v>85</v>
      </c>
      <c r="R91" s="386" t="s">
        <v>1433</v>
      </c>
      <c r="S91" s="386" t="s">
        <v>1434</v>
      </c>
      <c r="T91" s="387" t="s">
        <v>1435</v>
      </c>
      <c r="U91" s="385" t="s">
        <v>1436</v>
      </c>
      <c r="V91" s="385" t="s">
        <v>2899</v>
      </c>
      <c r="W91" s="386" t="s">
        <v>2899</v>
      </c>
      <c r="X91" s="324" t="s">
        <v>3365</v>
      </c>
      <c r="Y91" s="324" t="s">
        <v>3400</v>
      </c>
      <c r="Z91" s="322" t="s">
        <v>3381</v>
      </c>
      <c r="AA91" s="392">
        <v>8179</v>
      </c>
    </row>
    <row r="92" spans="17:27" ht="13.8">
      <c r="Q92" s="385">
        <f t="shared" si="1"/>
        <v>86</v>
      </c>
      <c r="R92" s="386" t="s">
        <v>1437</v>
      </c>
      <c r="S92" s="386" t="s">
        <v>1438</v>
      </c>
      <c r="T92" s="387" t="s">
        <v>1215</v>
      </c>
      <c r="U92" s="385" t="s">
        <v>1439</v>
      </c>
      <c r="V92" s="385" t="s">
        <v>2900</v>
      </c>
      <c r="W92" s="386" t="s">
        <v>2900</v>
      </c>
      <c r="X92" s="324" t="s">
        <v>3365</v>
      </c>
      <c r="Y92" s="324" t="s">
        <v>3400</v>
      </c>
      <c r="Z92" s="322" t="s">
        <v>3381</v>
      </c>
      <c r="AA92" s="392">
        <v>5000</v>
      </c>
    </row>
    <row r="93" spans="17:27" ht="13.8">
      <c r="Q93" s="385">
        <f t="shared" si="1"/>
        <v>87</v>
      </c>
      <c r="R93" s="386" t="s">
        <v>1440</v>
      </c>
      <c r="S93" s="386" t="s">
        <v>1441</v>
      </c>
      <c r="T93" s="387" t="s">
        <v>1178</v>
      </c>
      <c r="U93" s="385" t="s">
        <v>1442</v>
      </c>
      <c r="V93" s="385" t="s">
        <v>2901</v>
      </c>
      <c r="W93" s="386" t="s">
        <v>2901</v>
      </c>
      <c r="X93" s="324" t="s">
        <v>3365</v>
      </c>
      <c r="Y93" s="324" t="s">
        <v>3400</v>
      </c>
      <c r="Z93" s="322" t="s">
        <v>3381</v>
      </c>
      <c r="AA93" s="392">
        <v>23594</v>
      </c>
    </row>
    <row r="94" spans="17:27" ht="13.8">
      <c r="Q94" s="385">
        <f t="shared" si="1"/>
        <v>88</v>
      </c>
      <c r="R94" s="386" t="s">
        <v>1443</v>
      </c>
      <c r="S94" s="386" t="s">
        <v>1444</v>
      </c>
      <c r="T94" s="387" t="s">
        <v>1308</v>
      </c>
      <c r="U94" s="385" t="s">
        <v>1445</v>
      </c>
      <c r="V94" s="385" t="s">
        <v>3315</v>
      </c>
      <c r="W94" s="386" t="s">
        <v>3315</v>
      </c>
      <c r="X94" s="324" t="s">
        <v>3366</v>
      </c>
      <c r="Y94" s="324" t="s">
        <v>3400</v>
      </c>
      <c r="Z94" s="322" t="s">
        <v>3390</v>
      </c>
      <c r="AA94" s="392">
        <v>84136</v>
      </c>
    </row>
    <row r="95" spans="17:27" ht="13.8">
      <c r="Q95" s="385">
        <f t="shared" si="1"/>
        <v>89</v>
      </c>
      <c r="R95" s="386" t="s">
        <v>1446</v>
      </c>
      <c r="S95" s="386" t="s">
        <v>1447</v>
      </c>
      <c r="T95" s="387" t="s">
        <v>1295</v>
      </c>
      <c r="U95" s="385" t="s">
        <v>1448</v>
      </c>
      <c r="V95" s="385" t="s">
        <v>3135</v>
      </c>
      <c r="W95" s="386" t="s">
        <v>3135</v>
      </c>
      <c r="X95" s="324" t="s">
        <v>2858</v>
      </c>
      <c r="Y95" s="324" t="s">
        <v>3400</v>
      </c>
      <c r="Z95" s="322" t="s">
        <v>3381</v>
      </c>
      <c r="AA95" s="392">
        <v>2719</v>
      </c>
    </row>
    <row r="96" spans="17:27" ht="13.8">
      <c r="Q96" s="385">
        <f t="shared" si="1"/>
        <v>90</v>
      </c>
      <c r="R96" s="386" t="s">
        <v>1449</v>
      </c>
      <c r="S96" s="386" t="s">
        <v>1450</v>
      </c>
      <c r="T96" s="387" t="s">
        <v>1295</v>
      </c>
      <c r="U96" s="385" t="s">
        <v>1451</v>
      </c>
      <c r="V96" s="385" t="s">
        <v>1450</v>
      </c>
      <c r="W96" s="386" t="s">
        <v>3135</v>
      </c>
      <c r="X96" s="324" t="s">
        <v>3364</v>
      </c>
      <c r="Y96" s="324" t="s">
        <v>3400</v>
      </c>
      <c r="Z96" s="322" t="s">
        <v>3384</v>
      </c>
      <c r="AA96" s="392">
        <v>13478</v>
      </c>
    </row>
    <row r="97" spans="17:27" ht="13.8">
      <c r="Q97" s="385">
        <f t="shared" si="1"/>
        <v>91</v>
      </c>
      <c r="R97" s="386" t="s">
        <v>1452</v>
      </c>
      <c r="S97" s="386" t="s">
        <v>1453</v>
      </c>
      <c r="T97" s="387" t="s">
        <v>1178</v>
      </c>
      <c r="U97" s="385" t="s">
        <v>1454</v>
      </c>
      <c r="V97" s="385" t="s">
        <v>2902</v>
      </c>
      <c r="W97" s="386" t="s">
        <v>2902</v>
      </c>
      <c r="X97" s="324" t="s">
        <v>3365</v>
      </c>
      <c r="Y97" s="324" t="s">
        <v>3400</v>
      </c>
      <c r="Z97" s="322" t="s">
        <v>3381</v>
      </c>
      <c r="AA97" s="392">
        <v>8373</v>
      </c>
    </row>
    <row r="98" spans="17:27" ht="13.8">
      <c r="Q98" s="385">
        <f t="shared" si="1"/>
        <v>92</v>
      </c>
      <c r="R98" s="386" t="s">
        <v>1455</v>
      </c>
      <c r="S98" s="386" t="s">
        <v>1456</v>
      </c>
      <c r="T98" s="387" t="s">
        <v>1215</v>
      </c>
      <c r="U98" s="385" t="s">
        <v>1457</v>
      </c>
      <c r="V98" s="385" t="s">
        <v>2903</v>
      </c>
      <c r="W98" s="386" t="s">
        <v>2903</v>
      </c>
      <c r="X98" s="324" t="s">
        <v>3365</v>
      </c>
      <c r="Y98" s="324" t="s">
        <v>3402</v>
      </c>
      <c r="Z98" s="322" t="s">
        <v>3385</v>
      </c>
      <c r="AA98" s="392">
        <v>13926</v>
      </c>
    </row>
    <row r="99" spans="17:27" ht="13.8">
      <c r="Q99" s="385">
        <f t="shared" si="1"/>
        <v>93</v>
      </c>
      <c r="R99" s="386" t="s">
        <v>1458</v>
      </c>
      <c r="S99" s="386" t="s">
        <v>1459</v>
      </c>
      <c r="T99" s="387" t="s">
        <v>1170</v>
      </c>
      <c r="U99" s="385" t="s">
        <v>1460</v>
      </c>
      <c r="V99" s="385" t="s">
        <v>1459</v>
      </c>
      <c r="W99" s="386" t="s">
        <v>3136</v>
      </c>
      <c r="X99" s="324" t="s">
        <v>3364</v>
      </c>
      <c r="Y99" s="324" t="s">
        <v>3401</v>
      </c>
      <c r="Z99" s="322" t="s">
        <v>3386</v>
      </c>
      <c r="AA99" s="392">
        <v>10142</v>
      </c>
    </row>
    <row r="100" spans="17:27" ht="13.8">
      <c r="Q100" s="385">
        <f t="shared" si="1"/>
        <v>94</v>
      </c>
      <c r="R100" s="386" t="s">
        <v>1461</v>
      </c>
      <c r="S100" s="386" t="s">
        <v>1462</v>
      </c>
      <c r="T100" s="387" t="s">
        <v>1346</v>
      </c>
      <c r="U100" s="385" t="s">
        <v>1463</v>
      </c>
      <c r="V100" s="385" t="s">
        <v>1462</v>
      </c>
      <c r="W100" s="386" t="s">
        <v>3137</v>
      </c>
      <c r="X100" s="324" t="s">
        <v>3364</v>
      </c>
      <c r="Y100" s="324" t="s">
        <v>3401</v>
      </c>
      <c r="Z100" s="322" t="s">
        <v>3383</v>
      </c>
      <c r="AA100" s="392">
        <v>5178</v>
      </c>
    </row>
    <row r="101" spans="17:27" ht="13.8">
      <c r="Q101" s="385">
        <f t="shared" si="1"/>
        <v>95</v>
      </c>
      <c r="R101" s="386" t="s">
        <v>1464</v>
      </c>
      <c r="S101" s="386" t="s">
        <v>1465</v>
      </c>
      <c r="T101" s="387" t="s">
        <v>1174</v>
      </c>
      <c r="U101" s="385" t="s">
        <v>1466</v>
      </c>
      <c r="V101" s="385" t="s">
        <v>1465</v>
      </c>
      <c r="W101" s="386" t="s">
        <v>1465</v>
      </c>
      <c r="X101" s="324" t="s">
        <v>3366</v>
      </c>
      <c r="Y101" s="324" t="s">
        <v>3400</v>
      </c>
      <c r="Z101" s="322" t="s">
        <v>3392</v>
      </c>
      <c r="AA101" s="392">
        <v>492</v>
      </c>
    </row>
    <row r="102" spans="17:27" ht="13.8">
      <c r="Q102" s="385">
        <f t="shared" si="1"/>
        <v>96</v>
      </c>
      <c r="R102" s="386" t="s">
        <v>1467</v>
      </c>
      <c r="S102" s="386" t="s">
        <v>1468</v>
      </c>
      <c r="T102" s="387" t="s">
        <v>1401</v>
      </c>
      <c r="U102" s="385" t="s">
        <v>1469</v>
      </c>
      <c r="V102" s="385" t="s">
        <v>1468</v>
      </c>
      <c r="W102" s="386" t="s">
        <v>3138</v>
      </c>
      <c r="X102" s="324" t="s">
        <v>3364</v>
      </c>
      <c r="Y102" s="324" t="s">
        <v>3401</v>
      </c>
      <c r="Z102" s="322" t="s">
        <v>3386</v>
      </c>
      <c r="AA102" s="392">
        <v>3857</v>
      </c>
    </row>
    <row r="103" spans="17:27" ht="13.8">
      <c r="Q103" s="385">
        <f t="shared" si="1"/>
        <v>97</v>
      </c>
      <c r="R103" s="386" t="s">
        <v>1470</v>
      </c>
      <c r="S103" s="386" t="s">
        <v>1471</v>
      </c>
      <c r="T103" s="387" t="s">
        <v>1276</v>
      </c>
      <c r="U103" s="385" t="s">
        <v>1472</v>
      </c>
      <c r="V103" s="385" t="s">
        <v>1471</v>
      </c>
      <c r="W103" s="386" t="s">
        <v>3139</v>
      </c>
      <c r="X103" s="324" t="s">
        <v>3364</v>
      </c>
      <c r="Y103" s="324" t="s">
        <v>3401</v>
      </c>
      <c r="Z103" s="322" t="s">
        <v>3386</v>
      </c>
      <c r="AA103" s="392">
        <v>22625</v>
      </c>
    </row>
    <row r="104" spans="17:27" ht="13.8">
      <c r="Q104" s="385">
        <f t="shared" si="1"/>
        <v>98</v>
      </c>
      <c r="R104" s="386" t="s">
        <v>1473</v>
      </c>
      <c r="S104" s="386" t="s">
        <v>1474</v>
      </c>
      <c r="T104" s="387" t="s">
        <v>1178</v>
      </c>
      <c r="U104" s="385" t="s">
        <v>1475</v>
      </c>
      <c r="V104" s="385" t="s">
        <v>2904</v>
      </c>
      <c r="W104" s="386" t="s">
        <v>2904</v>
      </c>
      <c r="X104" s="324" t="s">
        <v>3365</v>
      </c>
      <c r="Y104" s="324" t="s">
        <v>3400</v>
      </c>
      <c r="Z104" s="322" t="s">
        <v>3381</v>
      </c>
      <c r="AA104" s="392">
        <v>8573</v>
      </c>
    </row>
    <row r="105" spans="17:27" ht="13.8">
      <c r="Q105" s="385">
        <f t="shared" si="1"/>
        <v>99</v>
      </c>
      <c r="R105" s="386" t="s">
        <v>1476</v>
      </c>
      <c r="S105" s="386" t="s">
        <v>1477</v>
      </c>
      <c r="T105" s="387" t="s">
        <v>1170</v>
      </c>
      <c r="U105" s="385" t="s">
        <v>1478</v>
      </c>
      <c r="V105" s="385" t="s">
        <v>2905</v>
      </c>
      <c r="W105" s="386" t="s">
        <v>2905</v>
      </c>
      <c r="X105" s="324" t="s">
        <v>3365</v>
      </c>
      <c r="Y105" s="324" t="s">
        <v>3402</v>
      </c>
      <c r="Z105" s="322" t="s">
        <v>3385</v>
      </c>
      <c r="AA105" s="392">
        <v>750</v>
      </c>
    </row>
    <row r="106" spans="17:27" ht="13.8">
      <c r="Q106" s="385">
        <f t="shared" si="1"/>
        <v>100</v>
      </c>
      <c r="R106" s="386" t="s">
        <v>1479</v>
      </c>
      <c r="S106" s="386" t="s">
        <v>1480</v>
      </c>
      <c r="T106" s="387" t="s">
        <v>1346</v>
      </c>
      <c r="U106" s="385" t="s">
        <v>1481</v>
      </c>
      <c r="V106" s="385" t="s">
        <v>1480</v>
      </c>
      <c r="W106" s="386" t="s">
        <v>3140</v>
      </c>
      <c r="X106" s="324" t="s">
        <v>3364</v>
      </c>
      <c r="Y106" s="324" t="s">
        <v>3401</v>
      </c>
      <c r="Z106" s="322" t="s">
        <v>3386</v>
      </c>
      <c r="AA106" s="392">
        <v>3119</v>
      </c>
    </row>
    <row r="107" spans="17:27" ht="13.8">
      <c r="Q107" s="385">
        <f t="shared" si="1"/>
        <v>101</v>
      </c>
      <c r="R107" s="386" t="s">
        <v>1482</v>
      </c>
      <c r="S107" s="386" t="s">
        <v>1483</v>
      </c>
      <c r="T107" s="387" t="s">
        <v>1239</v>
      </c>
      <c r="U107" s="385" t="s">
        <v>1484</v>
      </c>
      <c r="V107" s="385" t="s">
        <v>1483</v>
      </c>
      <c r="W107" s="386" t="s">
        <v>3141</v>
      </c>
      <c r="X107" s="324" t="s">
        <v>3364</v>
      </c>
      <c r="Y107" s="324" t="s">
        <v>3401</v>
      </c>
      <c r="Z107" s="322" t="s">
        <v>3386</v>
      </c>
      <c r="AA107" s="392">
        <v>4283</v>
      </c>
    </row>
    <row r="108" spans="17:27" ht="13.8">
      <c r="Q108" s="385">
        <f t="shared" si="1"/>
        <v>102</v>
      </c>
      <c r="R108" s="386" t="s">
        <v>1485</v>
      </c>
      <c r="S108" s="386" t="s">
        <v>1486</v>
      </c>
      <c r="T108" s="387" t="s">
        <v>1295</v>
      </c>
      <c r="U108" s="385" t="s">
        <v>1487</v>
      </c>
      <c r="V108" s="385" t="s">
        <v>1486</v>
      </c>
      <c r="W108" s="386" t="s">
        <v>3142</v>
      </c>
      <c r="X108" s="324" t="s">
        <v>3364</v>
      </c>
      <c r="Y108" s="324" t="s">
        <v>3401</v>
      </c>
      <c r="Z108" s="322" t="s">
        <v>3386</v>
      </c>
      <c r="AA108" s="392">
        <v>4563</v>
      </c>
    </row>
    <row r="109" spans="17:27" ht="13.8">
      <c r="Q109" s="385">
        <f t="shared" si="1"/>
        <v>103</v>
      </c>
      <c r="R109" s="386" t="s">
        <v>1488</v>
      </c>
      <c r="S109" s="386" t="s">
        <v>1489</v>
      </c>
      <c r="T109" s="387" t="s">
        <v>1239</v>
      </c>
      <c r="U109" s="385" t="s">
        <v>1490</v>
      </c>
      <c r="V109" s="385" t="s">
        <v>1489</v>
      </c>
      <c r="W109" s="386" t="s">
        <v>3143</v>
      </c>
      <c r="X109" s="324" t="s">
        <v>3364</v>
      </c>
      <c r="Y109" s="324" t="s">
        <v>3400</v>
      </c>
      <c r="Z109" s="322" t="s">
        <v>3389</v>
      </c>
      <c r="AA109" s="392">
        <v>16896</v>
      </c>
    </row>
    <row r="110" spans="17:27" ht="13.8">
      <c r="Q110" s="385">
        <f t="shared" si="1"/>
        <v>104</v>
      </c>
      <c r="R110" s="386" t="s">
        <v>1491</v>
      </c>
      <c r="S110" s="386" t="s">
        <v>1492</v>
      </c>
      <c r="T110" s="387" t="s">
        <v>1178</v>
      </c>
      <c r="U110" s="385" t="s">
        <v>1493</v>
      </c>
      <c r="V110" s="385" t="s">
        <v>2906</v>
      </c>
      <c r="W110" s="386" t="s">
        <v>2906</v>
      </c>
      <c r="X110" s="324" t="s">
        <v>3365</v>
      </c>
      <c r="Y110" s="324" t="s">
        <v>3400</v>
      </c>
      <c r="Z110" s="322" t="s">
        <v>3381</v>
      </c>
      <c r="AA110" s="392">
        <v>4881</v>
      </c>
    </row>
    <row r="111" spans="17:27" ht="13.8">
      <c r="Q111" s="385">
        <f t="shared" si="1"/>
        <v>105</v>
      </c>
      <c r="R111" s="386" t="s">
        <v>1494</v>
      </c>
      <c r="S111" s="386" t="s">
        <v>1495</v>
      </c>
      <c r="T111" s="387" t="s">
        <v>1222</v>
      </c>
      <c r="U111" s="385" t="s">
        <v>1496</v>
      </c>
      <c r="V111" s="385" t="s">
        <v>1495</v>
      </c>
      <c r="W111" s="386" t="s">
        <v>3144</v>
      </c>
      <c r="X111" s="324" t="s">
        <v>3364</v>
      </c>
      <c r="Y111" s="324" t="s">
        <v>3401</v>
      </c>
      <c r="Z111" s="322" t="s">
        <v>3386</v>
      </c>
      <c r="AA111" s="392">
        <v>6467</v>
      </c>
    </row>
    <row r="112" spans="17:27" ht="13.8">
      <c r="Q112" s="385">
        <f t="shared" si="1"/>
        <v>106</v>
      </c>
      <c r="R112" s="386" t="s">
        <v>1497</v>
      </c>
      <c r="S112" s="386" t="s">
        <v>1498</v>
      </c>
      <c r="T112" s="387" t="s">
        <v>1318</v>
      </c>
      <c r="U112" s="385" t="s">
        <v>1499</v>
      </c>
      <c r="V112" s="385" t="s">
        <v>1498</v>
      </c>
      <c r="W112" s="386" t="s">
        <v>3145</v>
      </c>
      <c r="X112" s="324" t="s">
        <v>3364</v>
      </c>
      <c r="Y112" s="324" t="s">
        <v>3400</v>
      </c>
      <c r="Z112" s="322" t="s">
        <v>3382</v>
      </c>
      <c r="AA112" s="392">
        <v>16635</v>
      </c>
    </row>
    <row r="113" spans="17:27" ht="13.8">
      <c r="Q113" s="385">
        <f t="shared" si="1"/>
        <v>107</v>
      </c>
      <c r="R113" s="386" t="s">
        <v>1500</v>
      </c>
      <c r="S113" s="386" t="s">
        <v>1501</v>
      </c>
      <c r="T113" s="387" t="s">
        <v>1435</v>
      </c>
      <c r="U113" s="385" t="s">
        <v>1502</v>
      </c>
      <c r="V113" s="385" t="s">
        <v>1501</v>
      </c>
      <c r="W113" s="386" t="s">
        <v>3146</v>
      </c>
      <c r="X113" s="324" t="s">
        <v>3364</v>
      </c>
      <c r="Y113" s="324" t="s">
        <v>3400</v>
      </c>
      <c r="Z113" s="322" t="s">
        <v>3390</v>
      </c>
      <c r="AA113" s="392">
        <v>30561</v>
      </c>
    </row>
    <row r="114" spans="17:27" ht="13.8">
      <c r="Q114" s="385">
        <f t="shared" si="1"/>
        <v>108</v>
      </c>
      <c r="R114" s="386" t="s">
        <v>1503</v>
      </c>
      <c r="S114" s="386" t="s">
        <v>1504</v>
      </c>
      <c r="T114" s="387" t="s">
        <v>1318</v>
      </c>
      <c r="U114" s="385" t="s">
        <v>1505</v>
      </c>
      <c r="V114" s="385" t="s">
        <v>3349</v>
      </c>
      <c r="W114" s="386" t="s">
        <v>3349</v>
      </c>
      <c r="X114" s="324" t="s">
        <v>2858</v>
      </c>
      <c r="Y114" s="324" t="s">
        <v>3403</v>
      </c>
      <c r="Z114" s="322" t="s">
        <v>3391</v>
      </c>
      <c r="AA114" s="392">
        <v>18157</v>
      </c>
    </row>
    <row r="115" spans="17:27" ht="13.8">
      <c r="Q115" s="385">
        <f t="shared" si="1"/>
        <v>109</v>
      </c>
      <c r="R115" s="386" t="s">
        <v>1506</v>
      </c>
      <c r="S115" s="386" t="s">
        <v>1507</v>
      </c>
      <c r="T115" s="387" t="s">
        <v>1346</v>
      </c>
      <c r="U115" s="385" t="s">
        <v>1508</v>
      </c>
      <c r="V115" s="385" t="s">
        <v>1507</v>
      </c>
      <c r="W115" s="386" t="s">
        <v>3147</v>
      </c>
      <c r="X115" s="324" t="s">
        <v>3364</v>
      </c>
      <c r="Y115" s="324" t="s">
        <v>3401</v>
      </c>
      <c r="Z115" s="322" t="s">
        <v>3383</v>
      </c>
      <c r="AA115" s="392">
        <v>1585</v>
      </c>
    </row>
    <row r="116" spans="17:27" ht="13.8">
      <c r="Q116" s="385">
        <f t="shared" si="1"/>
        <v>110</v>
      </c>
      <c r="R116" s="386" t="s">
        <v>1509</v>
      </c>
      <c r="S116" s="386" t="s">
        <v>1510</v>
      </c>
      <c r="T116" s="387" t="s">
        <v>1178</v>
      </c>
      <c r="U116" s="385" t="s">
        <v>1511</v>
      </c>
      <c r="V116" s="385" t="s">
        <v>2907</v>
      </c>
      <c r="W116" s="386" t="s">
        <v>2907</v>
      </c>
      <c r="X116" s="324" t="s">
        <v>3365</v>
      </c>
      <c r="Y116" s="324" t="s">
        <v>3400</v>
      </c>
      <c r="Z116" s="322" t="s">
        <v>3381</v>
      </c>
      <c r="AA116" s="392">
        <v>17479</v>
      </c>
    </row>
    <row r="117" spans="17:27" ht="13.8">
      <c r="Q117" s="385">
        <f t="shared" si="1"/>
        <v>111</v>
      </c>
      <c r="R117" s="386" t="s">
        <v>1512</v>
      </c>
      <c r="S117" s="386" t="s">
        <v>1513</v>
      </c>
      <c r="T117" s="387" t="s">
        <v>1401</v>
      </c>
      <c r="U117" s="385" t="s">
        <v>1514</v>
      </c>
      <c r="V117" s="385" t="s">
        <v>2908</v>
      </c>
      <c r="W117" s="386" t="s">
        <v>2908</v>
      </c>
      <c r="X117" s="324" t="s">
        <v>3365</v>
      </c>
      <c r="Y117" s="324" t="s">
        <v>3400</v>
      </c>
      <c r="Z117" s="322" t="s">
        <v>3381</v>
      </c>
      <c r="AA117" s="392">
        <v>7227</v>
      </c>
    </row>
    <row r="118" spans="17:27" ht="13.8">
      <c r="Q118" s="385">
        <f t="shared" si="1"/>
        <v>112</v>
      </c>
      <c r="R118" s="386" t="s">
        <v>1515</v>
      </c>
      <c r="S118" s="386" t="s">
        <v>1516</v>
      </c>
      <c r="T118" s="387" t="s">
        <v>1229</v>
      </c>
      <c r="U118" s="385" t="s">
        <v>1517</v>
      </c>
      <c r="V118" s="385" t="s">
        <v>1516</v>
      </c>
      <c r="W118" s="386" t="s">
        <v>3148</v>
      </c>
      <c r="X118" s="324" t="s">
        <v>3364</v>
      </c>
      <c r="Y118" s="324" t="s">
        <v>3401</v>
      </c>
      <c r="Z118" s="322" t="s">
        <v>3383</v>
      </c>
      <c r="AA118" s="392">
        <v>1603</v>
      </c>
    </row>
    <row r="119" spans="17:27" ht="13.8">
      <c r="Q119" s="385">
        <f t="shared" si="1"/>
        <v>113</v>
      </c>
      <c r="R119" s="386" t="s">
        <v>1518</v>
      </c>
      <c r="S119" s="386" t="s">
        <v>1519</v>
      </c>
      <c r="T119" s="387" t="s">
        <v>1295</v>
      </c>
      <c r="U119" s="385" t="s">
        <v>1520</v>
      </c>
      <c r="V119" s="385" t="s">
        <v>1519</v>
      </c>
      <c r="W119" s="386" t="s">
        <v>3149</v>
      </c>
      <c r="X119" s="324" t="s">
        <v>3364</v>
      </c>
      <c r="Y119" s="324" t="s">
        <v>3401</v>
      </c>
      <c r="Z119" s="322" t="s">
        <v>3386</v>
      </c>
      <c r="AA119" s="392">
        <v>4013</v>
      </c>
    </row>
    <row r="120" spans="17:27" ht="13.8">
      <c r="Q120" s="385">
        <f t="shared" si="1"/>
        <v>114</v>
      </c>
      <c r="R120" s="386" t="s">
        <v>1521</v>
      </c>
      <c r="S120" s="386" t="s">
        <v>1522</v>
      </c>
      <c r="T120" s="387" t="s">
        <v>1401</v>
      </c>
      <c r="U120" s="385" t="s">
        <v>1523</v>
      </c>
      <c r="V120" s="385" t="s">
        <v>1522</v>
      </c>
      <c r="W120" s="386" t="s">
        <v>3150</v>
      </c>
      <c r="X120" s="324" t="s">
        <v>3364</v>
      </c>
      <c r="Y120" s="324" t="s">
        <v>3400</v>
      </c>
      <c r="Z120" s="322" t="s">
        <v>3389</v>
      </c>
      <c r="AA120" s="392">
        <v>47512</v>
      </c>
    </row>
    <row r="121" spans="17:27" ht="13.8">
      <c r="Q121" s="385">
        <f t="shared" si="1"/>
        <v>115</v>
      </c>
      <c r="R121" s="386" t="s">
        <v>1524</v>
      </c>
      <c r="S121" s="386" t="s">
        <v>1525</v>
      </c>
      <c r="T121" s="387" t="s">
        <v>1435</v>
      </c>
      <c r="U121" s="385" t="s">
        <v>1526</v>
      </c>
      <c r="V121" s="385" t="s">
        <v>1525</v>
      </c>
      <c r="W121" s="386" t="s">
        <v>3151</v>
      </c>
      <c r="X121" s="324" t="s">
        <v>3364</v>
      </c>
      <c r="Y121" s="324" t="s">
        <v>3401</v>
      </c>
      <c r="Z121" s="322" t="s">
        <v>3386</v>
      </c>
      <c r="AA121" s="392">
        <v>9555</v>
      </c>
    </row>
    <row r="122" spans="17:27" ht="13.8">
      <c r="Q122" s="385">
        <f t="shared" si="1"/>
        <v>116</v>
      </c>
      <c r="R122" s="386" t="s">
        <v>1527</v>
      </c>
      <c r="S122" s="386" t="s">
        <v>1528</v>
      </c>
      <c r="T122" s="387" t="s">
        <v>1318</v>
      </c>
      <c r="U122" s="385" t="s">
        <v>1529</v>
      </c>
      <c r="V122" s="385" t="s">
        <v>1528</v>
      </c>
      <c r="W122" s="386" t="s">
        <v>3152</v>
      </c>
      <c r="X122" s="324" t="s">
        <v>3364</v>
      </c>
      <c r="Y122" s="324" t="s">
        <v>3400</v>
      </c>
      <c r="Z122" s="322" t="s">
        <v>3384</v>
      </c>
      <c r="AA122" s="392">
        <v>11157</v>
      </c>
    </row>
    <row r="123" spans="17:27" ht="13.8">
      <c r="Q123" s="385">
        <f t="shared" si="1"/>
        <v>117</v>
      </c>
      <c r="R123" s="386" t="s">
        <v>1530</v>
      </c>
      <c r="S123" s="386" t="s">
        <v>1531</v>
      </c>
      <c r="T123" s="387" t="s">
        <v>1246</v>
      </c>
      <c r="U123" s="385" t="s">
        <v>1532</v>
      </c>
      <c r="V123" s="385" t="s">
        <v>2909</v>
      </c>
      <c r="W123" s="386" t="s">
        <v>2909</v>
      </c>
      <c r="X123" s="324" t="s">
        <v>3365</v>
      </c>
      <c r="Y123" s="324" t="s">
        <v>3400</v>
      </c>
      <c r="Z123" s="322" t="s">
        <v>3381</v>
      </c>
      <c r="AA123" s="392">
        <v>2406</v>
      </c>
    </row>
    <row r="124" spans="17:27" ht="13.8">
      <c r="Q124" s="385">
        <f t="shared" si="1"/>
        <v>118</v>
      </c>
      <c r="R124" s="386" t="s">
        <v>1533</v>
      </c>
      <c r="S124" s="386" t="s">
        <v>1534</v>
      </c>
      <c r="T124" s="387" t="s">
        <v>1260</v>
      </c>
      <c r="U124" s="385" t="s">
        <v>1535</v>
      </c>
      <c r="V124" s="385" t="s">
        <v>3316</v>
      </c>
      <c r="W124" s="386" t="s">
        <v>3316</v>
      </c>
      <c r="X124" s="324" t="s">
        <v>3366</v>
      </c>
      <c r="Y124" s="324" t="s">
        <v>3400</v>
      </c>
      <c r="Z124" s="322" t="s">
        <v>3393</v>
      </c>
      <c r="AA124" s="392">
        <v>64270</v>
      </c>
    </row>
    <row r="125" spans="17:27" ht="13.8">
      <c r="Q125" s="385">
        <f t="shared" si="1"/>
        <v>119</v>
      </c>
      <c r="R125" s="386" t="s">
        <v>1536</v>
      </c>
      <c r="S125" s="386" t="s">
        <v>1537</v>
      </c>
      <c r="T125" s="387" t="s">
        <v>1178</v>
      </c>
      <c r="U125" s="385" t="s">
        <v>1538</v>
      </c>
      <c r="V125" s="385" t="s">
        <v>2910</v>
      </c>
      <c r="W125" s="386" t="s">
        <v>2910</v>
      </c>
      <c r="X125" s="324" t="s">
        <v>3365</v>
      </c>
      <c r="Y125" s="324" t="s">
        <v>3400</v>
      </c>
      <c r="Z125" s="322" t="s">
        <v>3381</v>
      </c>
      <c r="AA125" s="392">
        <v>8913</v>
      </c>
    </row>
    <row r="126" spans="17:27" ht="13.8">
      <c r="Q126" s="385">
        <f t="shared" si="1"/>
        <v>120</v>
      </c>
      <c r="R126" s="386" t="s">
        <v>1539</v>
      </c>
      <c r="S126" s="386" t="s">
        <v>1540</v>
      </c>
      <c r="T126" s="387" t="s">
        <v>1541</v>
      </c>
      <c r="U126" s="385" t="s">
        <v>1542</v>
      </c>
      <c r="V126" s="385" t="s">
        <v>1540</v>
      </c>
      <c r="W126" s="386" t="s">
        <v>3153</v>
      </c>
      <c r="X126" s="324" t="s">
        <v>3364</v>
      </c>
      <c r="Y126" s="324" t="s">
        <v>3400</v>
      </c>
      <c r="Z126" s="322" t="s">
        <v>3390</v>
      </c>
      <c r="AA126" s="392">
        <v>27190</v>
      </c>
    </row>
    <row r="127" spans="17:27" ht="13.8">
      <c r="Q127" s="385">
        <f t="shared" si="1"/>
        <v>121</v>
      </c>
      <c r="R127" s="386" t="s">
        <v>1543</v>
      </c>
      <c r="S127" s="386" t="s">
        <v>1544</v>
      </c>
      <c r="T127" s="387" t="s">
        <v>1239</v>
      </c>
      <c r="U127" s="385" t="s">
        <v>1545</v>
      </c>
      <c r="V127" s="385" t="s">
        <v>1544</v>
      </c>
      <c r="W127" s="386" t="s">
        <v>3154</v>
      </c>
      <c r="X127" s="324" t="s">
        <v>3364</v>
      </c>
      <c r="Y127" s="324" t="s">
        <v>3400</v>
      </c>
      <c r="Z127" s="322" t="s">
        <v>3387</v>
      </c>
      <c r="AA127" s="392">
        <v>6069</v>
      </c>
    </row>
    <row r="128" spans="17:27" ht="13.8">
      <c r="Q128" s="385">
        <f t="shared" si="1"/>
        <v>122</v>
      </c>
      <c r="R128" s="386" t="s">
        <v>1546</v>
      </c>
      <c r="S128" s="386" t="s">
        <v>1547</v>
      </c>
      <c r="T128" s="387" t="s">
        <v>1170</v>
      </c>
      <c r="U128" s="385" t="s">
        <v>1548</v>
      </c>
      <c r="V128" s="385" t="s">
        <v>2911</v>
      </c>
      <c r="W128" s="386" t="s">
        <v>2911</v>
      </c>
      <c r="X128" s="324" t="s">
        <v>3365</v>
      </c>
      <c r="Y128" s="324" t="s">
        <v>3400</v>
      </c>
      <c r="Z128" s="322" t="s">
        <v>3381</v>
      </c>
      <c r="AA128" s="392">
        <v>12709</v>
      </c>
    </row>
    <row r="129" spans="17:27" ht="13.8">
      <c r="Q129" s="385">
        <f t="shared" si="1"/>
        <v>123</v>
      </c>
      <c r="R129" s="386" t="s">
        <v>1549</v>
      </c>
      <c r="S129" s="386" t="s">
        <v>1550</v>
      </c>
      <c r="T129" s="387" t="s">
        <v>1178</v>
      </c>
      <c r="U129" s="385" t="s">
        <v>1551</v>
      </c>
      <c r="V129" s="385" t="s">
        <v>2912</v>
      </c>
      <c r="W129" s="386" t="s">
        <v>2912</v>
      </c>
      <c r="X129" s="324" t="s">
        <v>3365</v>
      </c>
      <c r="Y129" s="324" t="s">
        <v>3400</v>
      </c>
      <c r="Z129" s="322" t="s">
        <v>3381</v>
      </c>
      <c r="AA129" s="392">
        <v>11513</v>
      </c>
    </row>
    <row r="130" spans="17:27" ht="13.8">
      <c r="Q130" s="385">
        <f t="shared" si="1"/>
        <v>124</v>
      </c>
      <c r="R130" s="386" t="s">
        <v>1552</v>
      </c>
      <c r="S130" s="386" t="s">
        <v>1553</v>
      </c>
      <c r="T130" s="387" t="s">
        <v>1239</v>
      </c>
      <c r="U130" s="385" t="s">
        <v>1554</v>
      </c>
      <c r="V130" s="385" t="s">
        <v>1553</v>
      </c>
      <c r="W130" s="386" t="s">
        <v>3155</v>
      </c>
      <c r="X130" s="324" t="s">
        <v>3364</v>
      </c>
      <c r="Y130" s="324" t="s">
        <v>3401</v>
      </c>
      <c r="Z130" s="322" t="s">
        <v>3386</v>
      </c>
      <c r="AA130" s="392">
        <v>8881</v>
      </c>
    </row>
    <row r="131" spans="17:27" ht="13.8">
      <c r="Q131" s="385">
        <f t="shared" si="1"/>
        <v>125</v>
      </c>
      <c r="R131" s="386" t="s">
        <v>1555</v>
      </c>
      <c r="S131" s="386" t="s">
        <v>1556</v>
      </c>
      <c r="T131" s="387" t="s">
        <v>1401</v>
      </c>
      <c r="U131" s="385" t="s">
        <v>1557</v>
      </c>
      <c r="V131" s="385" t="s">
        <v>1556</v>
      </c>
      <c r="W131" s="386" t="s">
        <v>3156</v>
      </c>
      <c r="X131" s="324" t="s">
        <v>3364</v>
      </c>
      <c r="Y131" s="324" t="s">
        <v>3400</v>
      </c>
      <c r="Z131" s="322" t="s">
        <v>3382</v>
      </c>
      <c r="AA131" s="392">
        <v>99967</v>
      </c>
    </row>
    <row r="132" spans="17:27" ht="13.8">
      <c r="Q132" s="385">
        <f t="shared" si="1"/>
        <v>126</v>
      </c>
      <c r="R132" s="386" t="s">
        <v>1558</v>
      </c>
      <c r="S132" s="386" t="s">
        <v>1559</v>
      </c>
      <c r="T132" s="387" t="s">
        <v>1174</v>
      </c>
      <c r="U132" s="385" t="s">
        <v>1560</v>
      </c>
      <c r="V132" s="385" t="s">
        <v>1559</v>
      </c>
      <c r="W132" s="386" t="s">
        <v>1559</v>
      </c>
      <c r="X132" s="324" t="s">
        <v>3366</v>
      </c>
      <c r="Y132" s="324" t="s">
        <v>3400</v>
      </c>
      <c r="Z132" s="322" t="s">
        <v>3388</v>
      </c>
      <c r="AA132" s="392">
        <v>4243</v>
      </c>
    </row>
    <row r="133" spans="17:27" ht="13.8">
      <c r="Q133" s="385">
        <f t="shared" si="1"/>
        <v>127</v>
      </c>
      <c r="R133" s="386" t="s">
        <v>1561</v>
      </c>
      <c r="S133" s="386" t="s">
        <v>1562</v>
      </c>
      <c r="T133" s="387" t="s">
        <v>1174</v>
      </c>
      <c r="U133" s="385" t="s">
        <v>1563</v>
      </c>
      <c r="V133" s="385" t="s">
        <v>1562</v>
      </c>
      <c r="W133" s="386" t="s">
        <v>3157</v>
      </c>
      <c r="X133" s="324" t="s">
        <v>3364</v>
      </c>
      <c r="Y133" s="324" t="s">
        <v>3401</v>
      </c>
      <c r="Z133" s="322" t="s">
        <v>3386</v>
      </c>
      <c r="AA133" s="392">
        <v>43323</v>
      </c>
    </row>
    <row r="134" spans="17:27" ht="13.8">
      <c r="Q134" s="385">
        <f t="shared" si="1"/>
        <v>128</v>
      </c>
      <c r="R134" s="386" t="s">
        <v>1564</v>
      </c>
      <c r="S134" s="386" t="s">
        <v>1565</v>
      </c>
      <c r="T134" s="387" t="s">
        <v>1276</v>
      </c>
      <c r="U134" s="385" t="s">
        <v>1566</v>
      </c>
      <c r="V134" s="385" t="s">
        <v>3317</v>
      </c>
      <c r="W134" s="386" t="s">
        <v>3317</v>
      </c>
      <c r="X134" s="324" t="s">
        <v>3366</v>
      </c>
      <c r="Y134" s="324" t="s">
        <v>3400</v>
      </c>
      <c r="Z134" s="322" t="s">
        <v>3388</v>
      </c>
      <c r="AA134" s="392">
        <v>124969</v>
      </c>
    </row>
    <row r="135" spans="17:27" ht="13.8">
      <c r="Q135" s="385">
        <f t="shared" si="1"/>
        <v>129</v>
      </c>
      <c r="R135" s="386" t="s">
        <v>1567</v>
      </c>
      <c r="S135" s="386" t="s">
        <v>1568</v>
      </c>
      <c r="T135" s="387" t="s">
        <v>1435</v>
      </c>
      <c r="U135" s="385" t="s">
        <v>1569</v>
      </c>
      <c r="V135" s="385" t="s">
        <v>1568</v>
      </c>
      <c r="W135" s="386" t="s">
        <v>3158</v>
      </c>
      <c r="X135" s="324" t="s">
        <v>3364</v>
      </c>
      <c r="Y135" s="324" t="s">
        <v>3401</v>
      </c>
      <c r="Z135" s="322" t="s">
        <v>3386</v>
      </c>
      <c r="AA135" s="392">
        <v>4216</v>
      </c>
    </row>
    <row r="136" spans="17:27" ht="13.8">
      <c r="Q136" s="385">
        <f t="shared" si="1"/>
        <v>130</v>
      </c>
      <c r="R136" s="386" t="s">
        <v>1570</v>
      </c>
      <c r="S136" s="386" t="s">
        <v>1571</v>
      </c>
      <c r="T136" s="387" t="s">
        <v>1188</v>
      </c>
      <c r="U136" s="385" t="s">
        <v>1572</v>
      </c>
      <c r="V136" s="385" t="s">
        <v>2913</v>
      </c>
      <c r="W136" s="386" t="s">
        <v>2913</v>
      </c>
      <c r="X136" s="324" t="s">
        <v>3365</v>
      </c>
      <c r="Y136" s="324" t="s">
        <v>3400</v>
      </c>
      <c r="Z136" s="322" t="s">
        <v>3381</v>
      </c>
      <c r="AA136" s="392">
        <v>1395</v>
      </c>
    </row>
    <row r="137" spans="17:27" ht="13.8">
      <c r="Q137" s="385">
        <f t="shared" ref="Q137:Q200" si="2">Q136+1</f>
        <v>131</v>
      </c>
      <c r="R137" s="386" t="s">
        <v>1573</v>
      </c>
      <c r="S137" s="386" t="s">
        <v>1574</v>
      </c>
      <c r="T137" s="387" t="s">
        <v>1178</v>
      </c>
      <c r="U137" s="385" t="s">
        <v>1575</v>
      </c>
      <c r="V137" s="385" t="s">
        <v>2914</v>
      </c>
      <c r="W137" s="386" t="s">
        <v>2914</v>
      </c>
      <c r="X137" s="324" t="s">
        <v>3365</v>
      </c>
      <c r="Y137" s="324" t="s">
        <v>3400</v>
      </c>
      <c r="Z137" s="322" t="s">
        <v>3381</v>
      </c>
      <c r="AA137" s="392">
        <v>19403</v>
      </c>
    </row>
    <row r="138" spans="17:27" ht="13.8">
      <c r="Q138" s="385">
        <f t="shared" si="2"/>
        <v>132</v>
      </c>
      <c r="R138" s="386" t="s">
        <v>1576</v>
      </c>
      <c r="S138" s="386" t="s">
        <v>1577</v>
      </c>
      <c r="T138" s="387" t="s">
        <v>1188</v>
      </c>
      <c r="U138" s="385" t="s">
        <v>1578</v>
      </c>
      <c r="V138" s="385" t="s">
        <v>1577</v>
      </c>
      <c r="W138" s="386" t="s">
        <v>3159</v>
      </c>
      <c r="X138" s="324" t="s">
        <v>3364</v>
      </c>
      <c r="Y138" s="324" t="s">
        <v>3401</v>
      </c>
      <c r="Z138" s="322" t="s">
        <v>3383</v>
      </c>
      <c r="AA138" s="392">
        <v>1036</v>
      </c>
    </row>
    <row r="139" spans="17:27" ht="13.8">
      <c r="Q139" s="385">
        <f t="shared" si="2"/>
        <v>133</v>
      </c>
      <c r="R139" s="386" t="s">
        <v>1579</v>
      </c>
      <c r="S139" s="386" t="s">
        <v>1580</v>
      </c>
      <c r="T139" s="387" t="s">
        <v>1178</v>
      </c>
      <c r="U139" s="385" t="s">
        <v>1581</v>
      </c>
      <c r="V139" s="385" t="s">
        <v>2915</v>
      </c>
      <c r="W139" s="386" t="s">
        <v>2915</v>
      </c>
      <c r="X139" s="324" t="s">
        <v>3365</v>
      </c>
      <c r="Y139" s="324" t="s">
        <v>3400</v>
      </c>
      <c r="Z139" s="322" t="s">
        <v>3381</v>
      </c>
      <c r="AA139" s="392">
        <v>7401</v>
      </c>
    </row>
    <row r="140" spans="17:27" ht="13.8">
      <c r="Q140" s="385">
        <f t="shared" si="2"/>
        <v>134</v>
      </c>
      <c r="R140" s="386" t="s">
        <v>1582</v>
      </c>
      <c r="S140" s="386" t="s">
        <v>1583</v>
      </c>
      <c r="T140" s="387" t="s">
        <v>1178</v>
      </c>
      <c r="U140" s="385" t="s">
        <v>1584</v>
      </c>
      <c r="V140" s="385" t="s">
        <v>3318</v>
      </c>
      <c r="W140" s="386" t="s">
        <v>3318</v>
      </c>
      <c r="X140" s="324" t="s">
        <v>3366</v>
      </c>
      <c r="Y140" s="324" t="s">
        <v>3400</v>
      </c>
      <c r="Z140" s="322" t="s">
        <v>3389</v>
      </c>
      <c r="AA140" s="392">
        <v>27147</v>
      </c>
    </row>
    <row r="141" spans="17:27" ht="13.8">
      <c r="Q141" s="385">
        <f t="shared" si="2"/>
        <v>135</v>
      </c>
      <c r="R141" s="386" t="s">
        <v>1585</v>
      </c>
      <c r="S141" s="386" t="s">
        <v>1586</v>
      </c>
      <c r="T141" s="387" t="s">
        <v>1178</v>
      </c>
      <c r="U141" s="385" t="s">
        <v>1587</v>
      </c>
      <c r="V141" s="385" t="s">
        <v>2916</v>
      </c>
      <c r="W141" s="386" t="s">
        <v>2916</v>
      </c>
      <c r="X141" s="324" t="s">
        <v>3365</v>
      </c>
      <c r="Y141" s="324" t="s">
        <v>3400</v>
      </c>
      <c r="Z141" s="322" t="s">
        <v>3381</v>
      </c>
      <c r="AA141" s="392">
        <v>5281</v>
      </c>
    </row>
    <row r="142" spans="17:27" ht="13.8">
      <c r="Q142" s="385">
        <f t="shared" si="2"/>
        <v>136</v>
      </c>
      <c r="R142" s="386" t="s">
        <v>1588</v>
      </c>
      <c r="S142" s="386" t="s">
        <v>1589</v>
      </c>
      <c r="T142" s="387" t="s">
        <v>1170</v>
      </c>
      <c r="U142" s="385" t="s">
        <v>1590</v>
      </c>
      <c r="V142" s="385" t="s">
        <v>2917</v>
      </c>
      <c r="W142" s="386" t="s">
        <v>2917</v>
      </c>
      <c r="X142" s="324" t="s">
        <v>3365</v>
      </c>
      <c r="Y142" s="324" t="s">
        <v>3400</v>
      </c>
      <c r="Z142" s="322" t="s">
        <v>3381</v>
      </c>
      <c r="AA142" s="392">
        <v>1847</v>
      </c>
    </row>
    <row r="143" spans="17:27" ht="13.8">
      <c r="Q143" s="385">
        <f t="shared" si="2"/>
        <v>137</v>
      </c>
      <c r="R143" s="386" t="s">
        <v>1591</v>
      </c>
      <c r="S143" s="386" t="s">
        <v>1592</v>
      </c>
      <c r="T143" s="387" t="s">
        <v>1260</v>
      </c>
      <c r="U143" s="385" t="s">
        <v>1593</v>
      </c>
      <c r="V143" s="385" t="s">
        <v>1592</v>
      </c>
      <c r="W143" s="386" t="s">
        <v>3160</v>
      </c>
      <c r="X143" s="324" t="s">
        <v>3364</v>
      </c>
      <c r="Y143" s="324" t="s">
        <v>3400</v>
      </c>
      <c r="Z143" s="322" t="s">
        <v>3381</v>
      </c>
      <c r="AA143" s="392">
        <v>2113</v>
      </c>
    </row>
    <row r="144" spans="17:27" ht="13.8">
      <c r="Q144" s="385">
        <f t="shared" si="2"/>
        <v>138</v>
      </c>
      <c r="R144" s="386" t="s">
        <v>1594</v>
      </c>
      <c r="S144" s="386" t="s">
        <v>1595</v>
      </c>
      <c r="T144" s="387" t="s">
        <v>1174</v>
      </c>
      <c r="U144" s="385" t="s">
        <v>1596</v>
      </c>
      <c r="V144" s="385" t="s">
        <v>3319</v>
      </c>
      <c r="W144" s="386" t="s">
        <v>3319</v>
      </c>
      <c r="X144" s="324" t="s">
        <v>3366</v>
      </c>
      <c r="Y144" s="324" t="s">
        <v>3400</v>
      </c>
      <c r="Z144" s="322" t="s">
        <v>3387</v>
      </c>
      <c r="AA144" s="392">
        <v>1735</v>
      </c>
    </row>
    <row r="145" spans="17:27" ht="13.8">
      <c r="Q145" s="385">
        <f t="shared" si="2"/>
        <v>139</v>
      </c>
      <c r="R145" s="386" t="s">
        <v>1597</v>
      </c>
      <c r="S145" s="386" t="s">
        <v>1598</v>
      </c>
      <c r="T145" s="387" t="s">
        <v>1239</v>
      </c>
      <c r="U145" s="385" t="s">
        <v>1599</v>
      </c>
      <c r="V145" s="385" t="s">
        <v>1598</v>
      </c>
      <c r="W145" s="386" t="s">
        <v>3161</v>
      </c>
      <c r="X145" s="324" t="s">
        <v>3364</v>
      </c>
      <c r="Y145" s="324" t="s">
        <v>3400</v>
      </c>
      <c r="Z145" s="322" t="s">
        <v>3384</v>
      </c>
      <c r="AA145" s="392">
        <v>45538</v>
      </c>
    </row>
    <row r="146" spans="17:27" ht="13.8">
      <c r="Q146" s="385">
        <f t="shared" si="2"/>
        <v>140</v>
      </c>
      <c r="R146" s="386" t="s">
        <v>1600</v>
      </c>
      <c r="S146" s="386" t="s">
        <v>1601</v>
      </c>
      <c r="T146" s="387" t="s">
        <v>1541</v>
      </c>
      <c r="U146" s="385" t="s">
        <v>1602</v>
      </c>
      <c r="V146" s="385" t="s">
        <v>1601</v>
      </c>
      <c r="W146" s="386" t="s">
        <v>3162</v>
      </c>
      <c r="X146" s="324" t="s">
        <v>3364</v>
      </c>
      <c r="Y146" s="324" t="s">
        <v>3400</v>
      </c>
      <c r="Z146" s="322" t="s">
        <v>3389</v>
      </c>
      <c r="AA146" s="392">
        <v>35790</v>
      </c>
    </row>
    <row r="147" spans="17:27" ht="13.8">
      <c r="Q147" s="385">
        <f t="shared" si="2"/>
        <v>141</v>
      </c>
      <c r="R147" s="386" t="s">
        <v>1603</v>
      </c>
      <c r="S147" s="386" t="s">
        <v>1604</v>
      </c>
      <c r="T147" s="387" t="s">
        <v>1170</v>
      </c>
      <c r="U147" s="385" t="s">
        <v>1605</v>
      </c>
      <c r="V147" s="385" t="s">
        <v>2918</v>
      </c>
      <c r="W147" s="386" t="s">
        <v>2918</v>
      </c>
      <c r="X147" s="324" t="s">
        <v>3365</v>
      </c>
      <c r="Y147" s="324" t="s">
        <v>3400</v>
      </c>
      <c r="Z147" s="322" t="s">
        <v>3381</v>
      </c>
      <c r="AA147" s="392">
        <v>6121</v>
      </c>
    </row>
    <row r="148" spans="17:27" ht="13.8">
      <c r="Q148" s="385">
        <f t="shared" si="2"/>
        <v>142</v>
      </c>
      <c r="R148" s="386" t="s">
        <v>1606</v>
      </c>
      <c r="S148" s="386" t="s">
        <v>1607</v>
      </c>
      <c r="T148" s="387" t="s">
        <v>1178</v>
      </c>
      <c r="U148" s="385" t="s">
        <v>1608</v>
      </c>
      <c r="V148" s="385" t="s">
        <v>2919</v>
      </c>
      <c r="W148" s="386" t="s">
        <v>2919</v>
      </c>
      <c r="X148" s="324" t="s">
        <v>3365</v>
      </c>
      <c r="Y148" s="324" t="s">
        <v>3400</v>
      </c>
      <c r="Z148" s="322" t="s">
        <v>3387</v>
      </c>
      <c r="AA148" s="392">
        <v>32457</v>
      </c>
    </row>
    <row r="149" spans="17:27" ht="13.8">
      <c r="Q149" s="385">
        <f t="shared" si="2"/>
        <v>143</v>
      </c>
      <c r="R149" s="386" t="s">
        <v>1609</v>
      </c>
      <c r="S149" s="388" t="s">
        <v>1610</v>
      </c>
      <c r="T149" s="387" t="s">
        <v>1346</v>
      </c>
      <c r="U149" s="385" t="s">
        <v>1611</v>
      </c>
      <c r="V149" s="385" t="s">
        <v>1610</v>
      </c>
      <c r="W149" s="388" t="s">
        <v>3163</v>
      </c>
      <c r="X149" s="324" t="s">
        <v>3364</v>
      </c>
      <c r="Y149" s="324" t="s">
        <v>3401</v>
      </c>
      <c r="Z149" s="322" t="s">
        <v>3386</v>
      </c>
      <c r="AA149" s="392">
        <v>6295</v>
      </c>
    </row>
    <row r="150" spans="17:27" ht="13.8">
      <c r="Q150" s="385">
        <f t="shared" si="2"/>
        <v>144</v>
      </c>
      <c r="R150" s="386" t="s">
        <v>1612</v>
      </c>
      <c r="S150" s="388" t="s">
        <v>1610</v>
      </c>
      <c r="T150" s="387" t="s">
        <v>1260</v>
      </c>
      <c r="U150" s="385" t="s">
        <v>1613</v>
      </c>
      <c r="V150" s="385" t="s">
        <v>1610</v>
      </c>
      <c r="W150" s="388" t="s">
        <v>3163</v>
      </c>
      <c r="X150" s="324" t="s">
        <v>3364</v>
      </c>
      <c r="Y150" s="324" t="s">
        <v>3400</v>
      </c>
      <c r="Z150" s="322" t="s">
        <v>3384</v>
      </c>
      <c r="AA150" s="392">
        <v>7466</v>
      </c>
    </row>
    <row r="151" spans="17:27" ht="13.8">
      <c r="Q151" s="385">
        <f t="shared" si="2"/>
        <v>145</v>
      </c>
      <c r="R151" s="386" t="s">
        <v>1614</v>
      </c>
      <c r="S151" s="386" t="s">
        <v>1615</v>
      </c>
      <c r="T151" s="387" t="s">
        <v>1178</v>
      </c>
      <c r="U151" s="385" t="s">
        <v>1616</v>
      </c>
      <c r="V151" s="385" t="s">
        <v>2920</v>
      </c>
      <c r="W151" s="386" t="s">
        <v>2920</v>
      </c>
      <c r="X151" s="324" t="s">
        <v>3365</v>
      </c>
      <c r="Y151" s="324" t="s">
        <v>3400</v>
      </c>
      <c r="Z151" s="322" t="s">
        <v>3381</v>
      </c>
      <c r="AA151" s="392">
        <v>13835</v>
      </c>
    </row>
    <row r="152" spans="17:27" ht="13.8">
      <c r="Q152" s="385">
        <f t="shared" si="2"/>
        <v>146</v>
      </c>
      <c r="R152" s="386" t="s">
        <v>1617</v>
      </c>
      <c r="S152" s="386" t="s">
        <v>1618</v>
      </c>
      <c r="T152" s="387" t="s">
        <v>1276</v>
      </c>
      <c r="U152" s="385" t="s">
        <v>1619</v>
      </c>
      <c r="V152" s="385" t="s">
        <v>2921</v>
      </c>
      <c r="W152" s="386" t="s">
        <v>2921</v>
      </c>
      <c r="X152" s="324" t="s">
        <v>3365</v>
      </c>
      <c r="Y152" s="324" t="s">
        <v>3400</v>
      </c>
      <c r="Z152" s="322" t="s">
        <v>3381</v>
      </c>
      <c r="AA152" s="392">
        <v>7318</v>
      </c>
    </row>
    <row r="153" spans="17:27" ht="13.8">
      <c r="Q153" s="385">
        <f t="shared" si="2"/>
        <v>147</v>
      </c>
      <c r="R153" s="386" t="s">
        <v>1620</v>
      </c>
      <c r="S153" s="386" t="s">
        <v>1621</v>
      </c>
      <c r="T153" s="387" t="s">
        <v>1256</v>
      </c>
      <c r="U153" s="385" t="s">
        <v>1622</v>
      </c>
      <c r="V153" s="385" t="s">
        <v>2922</v>
      </c>
      <c r="W153" s="386" t="s">
        <v>2922</v>
      </c>
      <c r="X153" s="324" t="s">
        <v>3365</v>
      </c>
      <c r="Y153" s="324" t="s">
        <v>3400</v>
      </c>
      <c r="Z153" s="322" t="s">
        <v>3381</v>
      </c>
      <c r="AA153" s="392">
        <v>919</v>
      </c>
    </row>
    <row r="154" spans="17:27" ht="13.8">
      <c r="Q154" s="385">
        <f t="shared" si="2"/>
        <v>148</v>
      </c>
      <c r="R154" s="386" t="s">
        <v>1623</v>
      </c>
      <c r="S154" s="386" t="s">
        <v>1624</v>
      </c>
      <c r="T154" s="387" t="s">
        <v>1170</v>
      </c>
      <c r="U154" s="385" t="s">
        <v>1625</v>
      </c>
      <c r="V154" s="385" t="s">
        <v>2923</v>
      </c>
      <c r="W154" s="386" t="s">
        <v>2923</v>
      </c>
      <c r="X154" s="324" t="s">
        <v>3365</v>
      </c>
      <c r="Y154" s="324" t="s">
        <v>3400</v>
      </c>
      <c r="Z154" s="322" t="s">
        <v>3381</v>
      </c>
      <c r="AA154" s="392">
        <v>1329</v>
      </c>
    </row>
    <row r="155" spans="17:27" ht="13.8">
      <c r="Q155" s="385">
        <f t="shared" si="2"/>
        <v>149</v>
      </c>
      <c r="R155" s="386" t="s">
        <v>1626</v>
      </c>
      <c r="S155" s="386" t="s">
        <v>1627</v>
      </c>
      <c r="T155" s="387" t="s">
        <v>1239</v>
      </c>
      <c r="U155" s="385" t="s">
        <v>1628</v>
      </c>
      <c r="V155" s="385" t="s">
        <v>2924</v>
      </c>
      <c r="W155" s="386" t="s">
        <v>2924</v>
      </c>
      <c r="X155" s="324" t="s">
        <v>3365</v>
      </c>
      <c r="Y155" s="324" t="s">
        <v>3400</v>
      </c>
      <c r="Z155" s="322" t="s">
        <v>3381</v>
      </c>
      <c r="AA155" s="392">
        <v>540</v>
      </c>
    </row>
    <row r="156" spans="17:27" ht="13.8">
      <c r="Q156" s="385">
        <f t="shared" si="2"/>
        <v>150</v>
      </c>
      <c r="R156" s="386" t="s">
        <v>1629</v>
      </c>
      <c r="S156" s="386" t="s">
        <v>1630</v>
      </c>
      <c r="T156" s="387" t="s">
        <v>1295</v>
      </c>
      <c r="U156" s="385" t="s">
        <v>1631</v>
      </c>
      <c r="V156" s="385" t="s">
        <v>2925</v>
      </c>
      <c r="W156" s="386" t="s">
        <v>2925</v>
      </c>
      <c r="X156" s="324" t="s">
        <v>3365</v>
      </c>
      <c r="Y156" s="324" t="s">
        <v>3400</v>
      </c>
      <c r="Z156" s="322" t="s">
        <v>3381</v>
      </c>
      <c r="AA156" s="392">
        <v>4581</v>
      </c>
    </row>
    <row r="157" spans="17:27" ht="13.8">
      <c r="Q157" s="385">
        <f t="shared" si="2"/>
        <v>151</v>
      </c>
      <c r="R157" s="386" t="s">
        <v>1632</v>
      </c>
      <c r="S157" s="386" t="s">
        <v>1633</v>
      </c>
      <c r="T157" s="387" t="s">
        <v>1239</v>
      </c>
      <c r="U157" s="385" t="s">
        <v>1634</v>
      </c>
      <c r="V157" s="385" t="s">
        <v>1633</v>
      </c>
      <c r="W157" s="386" t="s">
        <v>3164</v>
      </c>
      <c r="X157" s="324" t="s">
        <v>3364</v>
      </c>
      <c r="Y157" s="324" t="s">
        <v>3400</v>
      </c>
      <c r="Z157" s="322" t="s">
        <v>3389</v>
      </c>
      <c r="AA157" s="392">
        <v>12109</v>
      </c>
    </row>
    <row r="158" spans="17:27" ht="13.8">
      <c r="Q158" s="385">
        <f t="shared" si="2"/>
        <v>152</v>
      </c>
      <c r="R158" s="386" t="s">
        <v>1635</v>
      </c>
      <c r="S158" s="386" t="s">
        <v>1636</v>
      </c>
      <c r="T158" s="387" t="s">
        <v>1318</v>
      </c>
      <c r="U158" s="385" t="s">
        <v>1637</v>
      </c>
      <c r="V158" s="385" t="s">
        <v>2926</v>
      </c>
      <c r="W158" s="386" t="s">
        <v>2926</v>
      </c>
      <c r="X158" s="324" t="s">
        <v>3365</v>
      </c>
      <c r="Y158" s="324" t="s">
        <v>3400</v>
      </c>
      <c r="Z158" s="322" t="s">
        <v>3381</v>
      </c>
      <c r="AA158" s="392">
        <v>11696</v>
      </c>
    </row>
    <row r="159" spans="17:27" ht="13.8">
      <c r="Q159" s="385">
        <f t="shared" si="2"/>
        <v>153</v>
      </c>
      <c r="R159" s="386" t="s">
        <v>1638</v>
      </c>
      <c r="S159" s="386" t="s">
        <v>1639</v>
      </c>
      <c r="T159" s="387" t="s">
        <v>1174</v>
      </c>
      <c r="U159" s="385" t="s">
        <v>1640</v>
      </c>
      <c r="V159" s="385" t="s">
        <v>2927</v>
      </c>
      <c r="W159" s="386" t="s">
        <v>2927</v>
      </c>
      <c r="X159" s="324" t="s">
        <v>3365</v>
      </c>
      <c r="Y159" s="324" t="s">
        <v>3400</v>
      </c>
      <c r="Z159" s="322" t="s">
        <v>3381</v>
      </c>
      <c r="AA159" s="392">
        <v>1885</v>
      </c>
    </row>
    <row r="160" spans="17:27" ht="13.8">
      <c r="Q160" s="385">
        <f t="shared" si="2"/>
        <v>154</v>
      </c>
      <c r="R160" s="386" t="s">
        <v>1641</v>
      </c>
      <c r="S160" s="386" t="s">
        <v>1642</v>
      </c>
      <c r="T160" s="387" t="s">
        <v>1178</v>
      </c>
      <c r="U160" s="385" t="s">
        <v>1643</v>
      </c>
      <c r="V160" s="385" t="s">
        <v>2928</v>
      </c>
      <c r="W160" s="386" t="s">
        <v>2928</v>
      </c>
      <c r="X160" s="324" t="s">
        <v>3365</v>
      </c>
      <c r="Y160" s="324" t="s">
        <v>3400</v>
      </c>
      <c r="Z160" s="322" t="s">
        <v>3381</v>
      </c>
      <c r="AA160" s="392">
        <v>35345</v>
      </c>
    </row>
    <row r="161" spans="17:27" ht="13.8">
      <c r="Q161" s="385">
        <f t="shared" si="2"/>
        <v>155</v>
      </c>
      <c r="R161" s="386" t="s">
        <v>1644</v>
      </c>
      <c r="S161" s="386" t="s">
        <v>1645</v>
      </c>
      <c r="T161" s="387" t="s">
        <v>1199</v>
      </c>
      <c r="U161" s="385" t="s">
        <v>1646</v>
      </c>
      <c r="V161" s="385" t="s">
        <v>1645</v>
      </c>
      <c r="W161" s="386" t="s">
        <v>3165</v>
      </c>
      <c r="X161" s="324" t="s">
        <v>3364</v>
      </c>
      <c r="Y161" s="324" t="s">
        <v>3401</v>
      </c>
      <c r="Z161" s="322" t="s">
        <v>3383</v>
      </c>
      <c r="AA161" s="392">
        <v>5565</v>
      </c>
    </row>
    <row r="162" spans="17:27" ht="13.8">
      <c r="Q162" s="385">
        <f t="shared" si="2"/>
        <v>156</v>
      </c>
      <c r="R162" s="386" t="s">
        <v>1647</v>
      </c>
      <c r="S162" s="386" t="s">
        <v>1648</v>
      </c>
      <c r="T162" s="387" t="s">
        <v>1199</v>
      </c>
      <c r="U162" s="385" t="s">
        <v>1649</v>
      </c>
      <c r="V162" s="385" t="s">
        <v>2929</v>
      </c>
      <c r="W162" s="386" t="s">
        <v>2929</v>
      </c>
      <c r="X162" s="324" t="s">
        <v>3365</v>
      </c>
      <c r="Y162" s="324" t="s">
        <v>3400</v>
      </c>
      <c r="Z162" s="322" t="s">
        <v>3381</v>
      </c>
      <c r="AA162" s="392">
        <v>5045</v>
      </c>
    </row>
    <row r="163" spans="17:27" ht="13.8">
      <c r="Q163" s="385">
        <f t="shared" si="2"/>
        <v>157</v>
      </c>
      <c r="R163" s="386" t="s">
        <v>1650</v>
      </c>
      <c r="S163" s="386" t="s">
        <v>1651</v>
      </c>
      <c r="T163" s="387" t="s">
        <v>1178</v>
      </c>
      <c r="U163" s="385" t="s">
        <v>1652</v>
      </c>
      <c r="V163" s="385" t="s">
        <v>2930</v>
      </c>
      <c r="W163" s="386" t="s">
        <v>2930</v>
      </c>
      <c r="X163" s="324" t="s">
        <v>3365</v>
      </c>
      <c r="Y163" s="324" t="s">
        <v>3400</v>
      </c>
      <c r="Z163" s="322" t="s">
        <v>3381</v>
      </c>
      <c r="AA163" s="392">
        <v>10590</v>
      </c>
    </row>
    <row r="164" spans="17:27" ht="13.8">
      <c r="Q164" s="385">
        <f t="shared" si="2"/>
        <v>158</v>
      </c>
      <c r="R164" s="386" t="s">
        <v>1653</v>
      </c>
      <c r="S164" s="386" t="s">
        <v>1654</v>
      </c>
      <c r="T164" s="387" t="s">
        <v>1435</v>
      </c>
      <c r="U164" s="385" t="s">
        <v>1655</v>
      </c>
      <c r="V164" s="385" t="s">
        <v>1654</v>
      </c>
      <c r="W164" s="386" t="s">
        <v>2929</v>
      </c>
      <c r="X164" s="324" t="s">
        <v>3364</v>
      </c>
      <c r="Y164" s="324" t="s">
        <v>3401</v>
      </c>
      <c r="Z164" s="322" t="s">
        <v>3386</v>
      </c>
      <c r="AA164" s="392">
        <v>16820</v>
      </c>
    </row>
    <row r="165" spans="17:27" ht="13.8">
      <c r="Q165" s="385">
        <f t="shared" si="2"/>
        <v>159</v>
      </c>
      <c r="R165" s="386" t="s">
        <v>1656</v>
      </c>
      <c r="S165" s="386" t="s">
        <v>1654</v>
      </c>
      <c r="T165" s="387" t="s">
        <v>1295</v>
      </c>
      <c r="U165" s="385" t="s">
        <v>1657</v>
      </c>
      <c r="V165" s="385" t="s">
        <v>1654</v>
      </c>
      <c r="W165" s="386" t="s">
        <v>2929</v>
      </c>
      <c r="X165" s="324" t="s">
        <v>3364</v>
      </c>
      <c r="Y165" s="324" t="s">
        <v>3401</v>
      </c>
      <c r="Z165" s="322" t="s">
        <v>3386</v>
      </c>
      <c r="AA165" s="392">
        <v>3195</v>
      </c>
    </row>
    <row r="166" spans="17:27" ht="13.8">
      <c r="Q166" s="385">
        <f t="shared" si="2"/>
        <v>160</v>
      </c>
      <c r="R166" s="386" t="s">
        <v>1658</v>
      </c>
      <c r="S166" s="386" t="s">
        <v>1654</v>
      </c>
      <c r="T166" s="387" t="s">
        <v>1256</v>
      </c>
      <c r="U166" s="385" t="s">
        <v>1659</v>
      </c>
      <c r="V166" s="385" t="s">
        <v>1654</v>
      </c>
      <c r="W166" s="386" t="s">
        <v>2929</v>
      </c>
      <c r="X166" s="324" t="s">
        <v>3364</v>
      </c>
      <c r="Y166" s="324" t="s">
        <v>3400</v>
      </c>
      <c r="Z166" s="322" t="s">
        <v>3394</v>
      </c>
      <c r="AA166" s="392">
        <v>62300</v>
      </c>
    </row>
    <row r="167" spans="17:27" ht="13.8">
      <c r="Q167" s="385">
        <f t="shared" si="2"/>
        <v>161</v>
      </c>
      <c r="R167" s="386" t="s">
        <v>1660</v>
      </c>
      <c r="S167" s="386" t="s">
        <v>1654</v>
      </c>
      <c r="T167" s="387" t="s">
        <v>1192</v>
      </c>
      <c r="U167" s="385" t="s">
        <v>1661</v>
      </c>
      <c r="V167" s="385" t="s">
        <v>1654</v>
      </c>
      <c r="W167" s="386" t="s">
        <v>2929</v>
      </c>
      <c r="X167" s="324" t="s">
        <v>3364</v>
      </c>
      <c r="Y167" s="324" t="s">
        <v>3401</v>
      </c>
      <c r="Z167" s="322" t="s">
        <v>3386</v>
      </c>
      <c r="AA167" s="392">
        <v>3176</v>
      </c>
    </row>
    <row r="168" spans="17:27" ht="13.8">
      <c r="Q168" s="385">
        <f t="shared" si="2"/>
        <v>162</v>
      </c>
      <c r="R168" s="386" t="s">
        <v>1662</v>
      </c>
      <c r="S168" s="386" t="s">
        <v>1663</v>
      </c>
      <c r="T168" s="387" t="s">
        <v>1199</v>
      </c>
      <c r="U168" s="385" t="s">
        <v>1664</v>
      </c>
      <c r="V168" s="385" t="s">
        <v>1663</v>
      </c>
      <c r="W168" s="386" t="s">
        <v>3166</v>
      </c>
      <c r="X168" s="324" t="s">
        <v>3364</v>
      </c>
      <c r="Y168" s="324" t="s">
        <v>3401</v>
      </c>
      <c r="Z168" s="322" t="s">
        <v>3386</v>
      </c>
      <c r="AA168" s="392">
        <v>3437</v>
      </c>
    </row>
    <row r="169" spans="17:27" ht="13.8">
      <c r="Q169" s="385">
        <f t="shared" si="2"/>
        <v>163</v>
      </c>
      <c r="R169" s="386" t="s">
        <v>1665</v>
      </c>
      <c r="S169" s="386" t="s">
        <v>1666</v>
      </c>
      <c r="T169" s="387" t="s">
        <v>1170</v>
      </c>
      <c r="U169" s="385" t="s">
        <v>1667</v>
      </c>
      <c r="V169" s="385" t="s">
        <v>2931</v>
      </c>
      <c r="W169" s="386" t="s">
        <v>2931</v>
      </c>
      <c r="X169" s="324" t="s">
        <v>3365</v>
      </c>
      <c r="Y169" s="324" t="s">
        <v>3400</v>
      </c>
      <c r="Z169" s="322" t="s">
        <v>3381</v>
      </c>
      <c r="AA169" s="392">
        <v>12052</v>
      </c>
    </row>
    <row r="170" spans="17:27" ht="13.8">
      <c r="Q170" s="385">
        <f t="shared" si="2"/>
        <v>164</v>
      </c>
      <c r="R170" s="386" t="s">
        <v>1668</v>
      </c>
      <c r="S170" s="386" t="s">
        <v>1669</v>
      </c>
      <c r="T170" s="387" t="s">
        <v>1170</v>
      </c>
      <c r="U170" s="385" t="s">
        <v>1670</v>
      </c>
      <c r="V170" s="385" t="s">
        <v>1669</v>
      </c>
      <c r="W170" s="386" t="s">
        <v>2931</v>
      </c>
      <c r="X170" s="324" t="s">
        <v>3364</v>
      </c>
      <c r="Y170" s="324" t="s">
        <v>3401</v>
      </c>
      <c r="Z170" s="322" t="s">
        <v>3386</v>
      </c>
      <c r="AA170" s="392">
        <v>36184</v>
      </c>
    </row>
    <row r="171" spans="17:27" ht="13.8">
      <c r="Q171" s="385">
        <f t="shared" si="2"/>
        <v>165</v>
      </c>
      <c r="R171" s="386" t="s">
        <v>1671</v>
      </c>
      <c r="S171" s="386" t="s">
        <v>1672</v>
      </c>
      <c r="T171" s="387" t="s">
        <v>1192</v>
      </c>
      <c r="U171" s="385" t="s">
        <v>1673</v>
      </c>
      <c r="V171" s="385" t="s">
        <v>1672</v>
      </c>
      <c r="W171" s="386" t="s">
        <v>3167</v>
      </c>
      <c r="X171" s="324" t="s">
        <v>3364</v>
      </c>
      <c r="Y171" s="324" t="s">
        <v>3401</v>
      </c>
      <c r="Z171" s="322" t="s">
        <v>3383</v>
      </c>
      <c r="AA171" s="392">
        <v>2230</v>
      </c>
    </row>
    <row r="172" spans="17:27" ht="13.8">
      <c r="Q172" s="385">
        <f t="shared" si="2"/>
        <v>166</v>
      </c>
      <c r="R172" s="386" t="s">
        <v>1674</v>
      </c>
      <c r="S172" s="386" t="s">
        <v>1675</v>
      </c>
      <c r="T172" s="387" t="s">
        <v>1295</v>
      </c>
      <c r="U172" s="385" t="s">
        <v>1676</v>
      </c>
      <c r="V172" s="385" t="s">
        <v>2932</v>
      </c>
      <c r="W172" s="386" t="s">
        <v>2932</v>
      </c>
      <c r="X172" s="324" t="s">
        <v>3365</v>
      </c>
      <c r="Y172" s="324" t="s">
        <v>3400</v>
      </c>
      <c r="Z172" s="322" t="s">
        <v>3381</v>
      </c>
      <c r="AA172" s="392">
        <v>1373</v>
      </c>
    </row>
    <row r="173" spans="17:27" ht="13.8">
      <c r="Q173" s="385">
        <f t="shared" si="2"/>
        <v>167</v>
      </c>
      <c r="R173" s="386" t="s">
        <v>1677</v>
      </c>
      <c r="S173" s="386" t="s">
        <v>1678</v>
      </c>
      <c r="T173" s="387" t="s">
        <v>1174</v>
      </c>
      <c r="U173" s="385" t="s">
        <v>1679</v>
      </c>
      <c r="V173" s="385" t="s">
        <v>1678</v>
      </c>
      <c r="W173" s="386" t="s">
        <v>3168</v>
      </c>
      <c r="X173" s="324" t="s">
        <v>3364</v>
      </c>
      <c r="Y173" s="324" t="s">
        <v>3400</v>
      </c>
      <c r="Z173" s="322" t="s">
        <v>3390</v>
      </c>
      <c r="AA173" s="392">
        <v>37349</v>
      </c>
    </row>
    <row r="174" spans="17:27" ht="13.8">
      <c r="Q174" s="385">
        <f t="shared" si="2"/>
        <v>168</v>
      </c>
      <c r="R174" s="386" t="s">
        <v>1680</v>
      </c>
      <c r="S174" s="386" t="s">
        <v>1681</v>
      </c>
      <c r="T174" s="387" t="s">
        <v>1178</v>
      </c>
      <c r="U174" s="385" t="s">
        <v>1682</v>
      </c>
      <c r="V174" s="385" t="s">
        <v>3320</v>
      </c>
      <c r="W174" s="386" t="s">
        <v>3320</v>
      </c>
      <c r="X174" s="324" t="s">
        <v>3366</v>
      </c>
      <c r="Y174" s="324" t="s">
        <v>3400</v>
      </c>
      <c r="Z174" s="322" t="s">
        <v>3387</v>
      </c>
      <c r="AA174" s="392">
        <v>30487</v>
      </c>
    </row>
    <row r="175" spans="17:27" ht="13.8">
      <c r="Q175" s="385">
        <f t="shared" si="2"/>
        <v>169</v>
      </c>
      <c r="R175" s="386" t="s">
        <v>1683</v>
      </c>
      <c r="S175" s="386" t="s">
        <v>1684</v>
      </c>
      <c r="T175" s="387" t="s">
        <v>1276</v>
      </c>
      <c r="U175" s="385" t="s">
        <v>1685</v>
      </c>
      <c r="V175" s="385" t="s">
        <v>2933</v>
      </c>
      <c r="W175" s="386" t="s">
        <v>2933</v>
      </c>
      <c r="X175" s="324" t="s">
        <v>3365</v>
      </c>
      <c r="Y175" s="324" t="s">
        <v>3400</v>
      </c>
      <c r="Z175" s="322" t="s">
        <v>3381</v>
      </c>
      <c r="AA175" s="392">
        <v>4226</v>
      </c>
    </row>
    <row r="176" spans="17:27" ht="13.8">
      <c r="Q176" s="385">
        <f t="shared" si="2"/>
        <v>170</v>
      </c>
      <c r="R176" s="386" t="s">
        <v>1686</v>
      </c>
      <c r="S176" s="386" t="s">
        <v>1687</v>
      </c>
      <c r="T176" s="387" t="s">
        <v>1215</v>
      </c>
      <c r="U176" s="385" t="s">
        <v>1688</v>
      </c>
      <c r="V176" s="385" t="s">
        <v>2934</v>
      </c>
      <c r="W176" s="386" t="s">
        <v>2934</v>
      </c>
      <c r="X176" s="324" t="s">
        <v>3365</v>
      </c>
      <c r="Y176" s="324" t="s">
        <v>3400</v>
      </c>
      <c r="Z176" s="322" t="s">
        <v>3381</v>
      </c>
      <c r="AA176" s="392">
        <v>2274</v>
      </c>
    </row>
    <row r="177" spans="17:27" ht="13.8">
      <c r="Q177" s="385">
        <f t="shared" si="2"/>
        <v>171</v>
      </c>
      <c r="R177" s="386" t="s">
        <v>1689</v>
      </c>
      <c r="S177" s="386" t="s">
        <v>1690</v>
      </c>
      <c r="T177" s="387" t="s">
        <v>1435</v>
      </c>
      <c r="U177" s="385" t="s">
        <v>1691</v>
      </c>
      <c r="V177" s="385" t="s">
        <v>2935</v>
      </c>
      <c r="W177" s="386" t="s">
        <v>2935</v>
      </c>
      <c r="X177" s="324" t="s">
        <v>3365</v>
      </c>
      <c r="Y177" s="324" t="s">
        <v>3400</v>
      </c>
      <c r="Z177" s="322" t="s">
        <v>3381</v>
      </c>
      <c r="AA177" s="392">
        <v>18579</v>
      </c>
    </row>
    <row r="178" spans="17:27" ht="13.8">
      <c r="Q178" s="385">
        <f t="shared" si="2"/>
        <v>172</v>
      </c>
      <c r="R178" s="386" t="s">
        <v>1692</v>
      </c>
      <c r="S178" s="386" t="s">
        <v>1693</v>
      </c>
      <c r="T178" s="387" t="s">
        <v>1295</v>
      </c>
      <c r="U178" s="385" t="s">
        <v>1694</v>
      </c>
      <c r="V178" s="385" t="s">
        <v>2936</v>
      </c>
      <c r="W178" s="386" t="s">
        <v>2936</v>
      </c>
      <c r="X178" s="324" t="s">
        <v>3365</v>
      </c>
      <c r="Y178" s="324" t="s">
        <v>3400</v>
      </c>
      <c r="Z178" s="322" t="s">
        <v>3381</v>
      </c>
      <c r="AA178" s="392">
        <v>1704</v>
      </c>
    </row>
    <row r="179" spans="17:27" ht="13.8">
      <c r="Q179" s="385">
        <f t="shared" si="2"/>
        <v>173</v>
      </c>
      <c r="R179" s="386" t="s">
        <v>1695</v>
      </c>
      <c r="S179" s="386" t="s">
        <v>1696</v>
      </c>
      <c r="T179" s="387" t="s">
        <v>1260</v>
      </c>
      <c r="U179" s="385" t="s">
        <v>1697</v>
      </c>
      <c r="V179" s="385" t="s">
        <v>2937</v>
      </c>
      <c r="W179" s="386" t="s">
        <v>2937</v>
      </c>
      <c r="X179" s="324" t="s">
        <v>3365</v>
      </c>
      <c r="Y179" s="324" t="s">
        <v>3400</v>
      </c>
      <c r="Z179" s="322" t="s">
        <v>3381</v>
      </c>
      <c r="AA179" s="392">
        <v>7527</v>
      </c>
    </row>
    <row r="180" spans="17:27" ht="13.8">
      <c r="Q180" s="385">
        <f t="shared" si="2"/>
        <v>174</v>
      </c>
      <c r="R180" s="386" t="s">
        <v>1698</v>
      </c>
      <c r="S180" s="386" t="s">
        <v>1699</v>
      </c>
      <c r="T180" s="387" t="s">
        <v>1178</v>
      </c>
      <c r="U180" s="385" t="s">
        <v>1700</v>
      </c>
      <c r="V180" s="385" t="s">
        <v>2938</v>
      </c>
      <c r="W180" s="386" t="s">
        <v>2938</v>
      </c>
      <c r="X180" s="324" t="s">
        <v>3365</v>
      </c>
      <c r="Y180" s="324" t="s">
        <v>3400</v>
      </c>
      <c r="Z180" s="322" t="s">
        <v>3381</v>
      </c>
      <c r="AA180" s="392">
        <v>11601</v>
      </c>
    </row>
    <row r="181" spans="17:27" ht="13.8">
      <c r="Q181" s="385">
        <f t="shared" si="2"/>
        <v>175</v>
      </c>
      <c r="R181" s="386" t="s">
        <v>1701</v>
      </c>
      <c r="S181" s="386" t="s">
        <v>1702</v>
      </c>
      <c r="T181" s="387" t="s">
        <v>1215</v>
      </c>
      <c r="U181" s="385" t="s">
        <v>1703</v>
      </c>
      <c r="V181" s="385" t="s">
        <v>3360</v>
      </c>
      <c r="W181" s="386" t="s">
        <v>3360</v>
      </c>
      <c r="X181" s="324" t="s">
        <v>3366</v>
      </c>
      <c r="Y181" s="324" t="s">
        <v>3400</v>
      </c>
      <c r="Z181" s="322" t="s">
        <v>3381</v>
      </c>
      <c r="AA181" s="392">
        <v>11456</v>
      </c>
    </row>
    <row r="182" spans="17:27" ht="13.8">
      <c r="Q182" s="385">
        <f t="shared" si="2"/>
        <v>176</v>
      </c>
      <c r="R182" s="386" t="s">
        <v>1704</v>
      </c>
      <c r="S182" s="386" t="s">
        <v>1705</v>
      </c>
      <c r="T182" s="387" t="s">
        <v>1215</v>
      </c>
      <c r="U182" s="385" t="s">
        <v>1706</v>
      </c>
      <c r="V182" s="385" t="s">
        <v>1705</v>
      </c>
      <c r="W182" s="386" t="s">
        <v>1435</v>
      </c>
      <c r="X182" s="324" t="s">
        <v>3364</v>
      </c>
      <c r="Y182" s="324" t="s">
        <v>3400</v>
      </c>
      <c r="Z182" s="322" t="s">
        <v>3382</v>
      </c>
      <c r="AA182" s="392">
        <v>64634</v>
      </c>
    </row>
    <row r="183" spans="17:27" ht="13.8">
      <c r="Q183" s="385">
        <f t="shared" si="2"/>
        <v>177</v>
      </c>
      <c r="R183" s="386" t="s">
        <v>1707</v>
      </c>
      <c r="S183" s="386" t="s">
        <v>1708</v>
      </c>
      <c r="T183" s="387" t="s">
        <v>1256</v>
      </c>
      <c r="U183" s="385" t="s">
        <v>1709</v>
      </c>
      <c r="V183" s="385" t="s">
        <v>1708</v>
      </c>
      <c r="W183" s="386" t="s">
        <v>3169</v>
      </c>
      <c r="X183" s="324" t="s">
        <v>3364</v>
      </c>
      <c r="Y183" s="324" t="s">
        <v>3401</v>
      </c>
      <c r="Z183" s="322" t="s">
        <v>3386</v>
      </c>
      <c r="AA183" s="392">
        <v>7203</v>
      </c>
    </row>
    <row r="184" spans="17:27" ht="13.8">
      <c r="Q184" s="385">
        <f t="shared" si="2"/>
        <v>178</v>
      </c>
      <c r="R184" s="386" t="s">
        <v>1710</v>
      </c>
      <c r="S184" s="386" t="s">
        <v>1711</v>
      </c>
      <c r="T184" s="387" t="s">
        <v>1199</v>
      </c>
      <c r="U184" s="385" t="s">
        <v>1712</v>
      </c>
      <c r="V184" s="385" t="s">
        <v>1711</v>
      </c>
      <c r="W184" s="386" t="s">
        <v>3170</v>
      </c>
      <c r="X184" s="324" t="s">
        <v>3364</v>
      </c>
      <c r="Y184" s="324" t="s">
        <v>3401</v>
      </c>
      <c r="Z184" s="322" t="s">
        <v>3386</v>
      </c>
      <c r="AA184" s="392">
        <v>3601</v>
      </c>
    </row>
    <row r="185" spans="17:27" ht="13.8">
      <c r="Q185" s="385">
        <f t="shared" si="2"/>
        <v>179</v>
      </c>
      <c r="R185" s="386" t="s">
        <v>1713</v>
      </c>
      <c r="S185" s="386" t="s">
        <v>1714</v>
      </c>
      <c r="T185" s="387" t="s">
        <v>1346</v>
      </c>
      <c r="U185" s="385" t="s">
        <v>1715</v>
      </c>
      <c r="V185" s="385" t="s">
        <v>1714</v>
      </c>
      <c r="W185" s="386" t="s">
        <v>3171</v>
      </c>
      <c r="X185" s="324" t="s">
        <v>3364</v>
      </c>
      <c r="Y185" s="324" t="s">
        <v>3401</v>
      </c>
      <c r="Z185" s="322" t="s">
        <v>3383</v>
      </c>
      <c r="AA185" s="392">
        <v>804</v>
      </c>
    </row>
    <row r="186" spans="17:27" ht="13.8">
      <c r="Q186" s="385">
        <f t="shared" si="2"/>
        <v>180</v>
      </c>
      <c r="R186" s="386" t="s">
        <v>1716</v>
      </c>
      <c r="S186" s="386" t="s">
        <v>1714</v>
      </c>
      <c r="T186" s="387" t="s">
        <v>1435</v>
      </c>
      <c r="U186" s="385" t="s">
        <v>1717</v>
      </c>
      <c r="V186" s="385" t="s">
        <v>1714</v>
      </c>
      <c r="W186" s="386" t="s">
        <v>3171</v>
      </c>
      <c r="X186" s="324" t="s">
        <v>3364</v>
      </c>
      <c r="Y186" s="324" t="s">
        <v>3400</v>
      </c>
      <c r="Z186" s="322" t="s">
        <v>3384</v>
      </c>
      <c r="AA186" s="392">
        <v>4899</v>
      </c>
    </row>
    <row r="187" spans="17:27" ht="13.8">
      <c r="Q187" s="385">
        <f t="shared" si="2"/>
        <v>181</v>
      </c>
      <c r="R187" s="386" t="s">
        <v>1718</v>
      </c>
      <c r="S187" s="386" t="s">
        <v>1714</v>
      </c>
      <c r="T187" s="387" t="s">
        <v>1192</v>
      </c>
      <c r="U187" s="385" t="s">
        <v>1719</v>
      </c>
      <c r="V187" s="385" t="s">
        <v>1714</v>
      </c>
      <c r="W187" s="386" t="s">
        <v>3171</v>
      </c>
      <c r="X187" s="324" t="s">
        <v>3364</v>
      </c>
      <c r="Y187" s="324" t="s">
        <v>3401</v>
      </c>
      <c r="Z187" s="322" t="s">
        <v>3386</v>
      </c>
      <c r="AA187" s="392">
        <v>5712</v>
      </c>
    </row>
    <row r="188" spans="17:27" ht="13.8">
      <c r="Q188" s="385">
        <f t="shared" si="2"/>
        <v>182</v>
      </c>
      <c r="R188" s="386" t="s">
        <v>1720</v>
      </c>
      <c r="S188" s="386" t="s">
        <v>1721</v>
      </c>
      <c r="T188" s="387" t="s">
        <v>1246</v>
      </c>
      <c r="U188" s="385" t="s">
        <v>1722</v>
      </c>
      <c r="V188" s="385" t="s">
        <v>3350</v>
      </c>
      <c r="W188" s="386" t="s">
        <v>3350</v>
      </c>
      <c r="X188" s="324" t="s">
        <v>2858</v>
      </c>
      <c r="Y188" s="324" t="s">
        <v>3400</v>
      </c>
      <c r="Z188" s="322" t="s">
        <v>3389</v>
      </c>
      <c r="AA188" s="392">
        <v>11176</v>
      </c>
    </row>
    <row r="189" spans="17:27" ht="13.8">
      <c r="Q189" s="385">
        <f t="shared" si="2"/>
        <v>183</v>
      </c>
      <c r="R189" s="386" t="s">
        <v>1723</v>
      </c>
      <c r="S189" s="386" t="s">
        <v>1724</v>
      </c>
      <c r="T189" s="387" t="s">
        <v>1178</v>
      </c>
      <c r="U189" s="385" t="s">
        <v>1725</v>
      </c>
      <c r="V189" s="385" t="s">
        <v>3321</v>
      </c>
      <c r="W189" s="386" t="s">
        <v>3321</v>
      </c>
      <c r="X189" s="324" t="s">
        <v>3366</v>
      </c>
      <c r="Y189" s="324" t="s">
        <v>3400</v>
      </c>
      <c r="Z189" s="322" t="s">
        <v>3387</v>
      </c>
      <c r="AA189" s="392">
        <v>43010</v>
      </c>
    </row>
    <row r="190" spans="17:27" ht="13.8">
      <c r="Q190" s="385">
        <f t="shared" si="2"/>
        <v>184</v>
      </c>
      <c r="R190" s="386" t="s">
        <v>1726</v>
      </c>
      <c r="S190" s="386" t="s">
        <v>1727</v>
      </c>
      <c r="T190" s="387" t="s">
        <v>1192</v>
      </c>
      <c r="U190" s="385" t="s">
        <v>1728</v>
      </c>
      <c r="V190" s="385" t="s">
        <v>3351</v>
      </c>
      <c r="W190" s="386" t="s">
        <v>3351</v>
      </c>
      <c r="X190" s="324" t="s">
        <v>2858</v>
      </c>
      <c r="Y190" s="324" t="s">
        <v>3400</v>
      </c>
      <c r="Z190" s="322" t="s">
        <v>3381</v>
      </c>
      <c r="AA190" s="392">
        <v>9724</v>
      </c>
    </row>
    <row r="191" spans="17:27" ht="13.8">
      <c r="Q191" s="385">
        <f t="shared" si="2"/>
        <v>185</v>
      </c>
      <c r="R191" s="386" t="s">
        <v>1729</v>
      </c>
      <c r="S191" s="386" t="s">
        <v>1730</v>
      </c>
      <c r="T191" s="387" t="s">
        <v>1215</v>
      </c>
      <c r="U191" s="385" t="s">
        <v>1731</v>
      </c>
      <c r="V191" s="385" t="s">
        <v>2939</v>
      </c>
      <c r="W191" s="386" t="s">
        <v>2939</v>
      </c>
      <c r="X191" s="324" t="s">
        <v>3365</v>
      </c>
      <c r="Y191" s="324" t="s">
        <v>3400</v>
      </c>
      <c r="Z191" s="322" t="s">
        <v>3381</v>
      </c>
      <c r="AA191" s="392">
        <v>7473</v>
      </c>
    </row>
    <row r="192" spans="17:27" ht="13.8">
      <c r="Q192" s="385">
        <f t="shared" si="2"/>
        <v>186</v>
      </c>
      <c r="R192" s="386" t="s">
        <v>1732</v>
      </c>
      <c r="S192" s="386" t="s">
        <v>1733</v>
      </c>
      <c r="T192" s="387" t="s">
        <v>1215</v>
      </c>
      <c r="U192" s="385" t="s">
        <v>1734</v>
      </c>
      <c r="V192" s="385" t="s">
        <v>1733</v>
      </c>
      <c r="W192" s="386" t="s">
        <v>3172</v>
      </c>
      <c r="X192" s="324" t="s">
        <v>3364</v>
      </c>
      <c r="Y192" s="324" t="s">
        <v>3402</v>
      </c>
      <c r="Z192" s="322" t="s">
        <v>3385</v>
      </c>
      <c r="AA192" s="392">
        <v>14707</v>
      </c>
    </row>
    <row r="193" spans="17:27" ht="13.8">
      <c r="Q193" s="385">
        <f t="shared" si="2"/>
        <v>187</v>
      </c>
      <c r="R193" s="386" t="s">
        <v>1735</v>
      </c>
      <c r="S193" s="386" t="s">
        <v>1736</v>
      </c>
      <c r="T193" s="387" t="s">
        <v>1215</v>
      </c>
      <c r="U193" s="385" t="s">
        <v>1737</v>
      </c>
      <c r="V193" s="385" t="s">
        <v>2940</v>
      </c>
      <c r="W193" s="386" t="s">
        <v>2940</v>
      </c>
      <c r="X193" s="324" t="s">
        <v>3365</v>
      </c>
      <c r="Y193" s="324" t="s">
        <v>3402</v>
      </c>
      <c r="Z193" s="322" t="s">
        <v>3385</v>
      </c>
      <c r="AA193" s="392">
        <v>11593</v>
      </c>
    </row>
    <row r="194" spans="17:27" ht="13.8">
      <c r="Q194" s="385">
        <f t="shared" si="2"/>
        <v>188</v>
      </c>
      <c r="R194" s="386" t="s">
        <v>1738</v>
      </c>
      <c r="S194" s="386" t="s">
        <v>1739</v>
      </c>
      <c r="T194" s="387" t="s">
        <v>1239</v>
      </c>
      <c r="U194" s="385" t="s">
        <v>1740</v>
      </c>
      <c r="V194" s="385" t="s">
        <v>1739</v>
      </c>
      <c r="W194" s="386" t="s">
        <v>3173</v>
      </c>
      <c r="X194" s="324" t="s">
        <v>3364</v>
      </c>
      <c r="Y194" s="324" t="s">
        <v>3401</v>
      </c>
      <c r="Z194" s="322" t="s">
        <v>3386</v>
      </c>
      <c r="AA194" s="392">
        <v>6110</v>
      </c>
    </row>
    <row r="195" spans="17:27" ht="13.8">
      <c r="Q195" s="385">
        <f t="shared" si="2"/>
        <v>189</v>
      </c>
      <c r="R195" s="386" t="s">
        <v>1741</v>
      </c>
      <c r="S195" s="386" t="s">
        <v>1742</v>
      </c>
      <c r="T195" s="387" t="s">
        <v>1308</v>
      </c>
      <c r="U195" s="385" t="s">
        <v>1743</v>
      </c>
      <c r="V195" s="385" t="s">
        <v>2941</v>
      </c>
      <c r="W195" s="386" t="s">
        <v>2941</v>
      </c>
      <c r="X195" s="324" t="s">
        <v>3365</v>
      </c>
      <c r="Y195" s="324" t="s">
        <v>3400</v>
      </c>
      <c r="Z195" s="322" t="s">
        <v>3381</v>
      </c>
      <c r="AA195" s="392">
        <v>8318</v>
      </c>
    </row>
    <row r="196" spans="17:27" ht="13.8">
      <c r="Q196" s="385">
        <f t="shared" si="2"/>
        <v>190</v>
      </c>
      <c r="R196" s="386" t="s">
        <v>1744</v>
      </c>
      <c r="S196" s="386" t="s">
        <v>1745</v>
      </c>
      <c r="T196" s="387" t="s">
        <v>1199</v>
      </c>
      <c r="U196" s="385" t="s">
        <v>1746</v>
      </c>
      <c r="V196" s="385" t="s">
        <v>2942</v>
      </c>
      <c r="W196" s="386" t="s">
        <v>2942</v>
      </c>
      <c r="X196" s="324" t="s">
        <v>3365</v>
      </c>
      <c r="Y196" s="324" t="s">
        <v>3400</v>
      </c>
      <c r="Z196" s="322" t="s">
        <v>3381</v>
      </c>
      <c r="AA196" s="392">
        <v>3277</v>
      </c>
    </row>
    <row r="197" spans="17:27" ht="13.8">
      <c r="Q197" s="385">
        <f t="shared" si="2"/>
        <v>191</v>
      </c>
      <c r="R197" s="386" t="s">
        <v>1747</v>
      </c>
      <c r="S197" s="386" t="s">
        <v>1748</v>
      </c>
      <c r="T197" s="387" t="s">
        <v>1174</v>
      </c>
      <c r="U197" s="385" t="s">
        <v>1749</v>
      </c>
      <c r="V197" s="385" t="s">
        <v>1748</v>
      </c>
      <c r="W197" s="386" t="s">
        <v>3174</v>
      </c>
      <c r="X197" s="324" t="s">
        <v>3364</v>
      </c>
      <c r="Y197" s="324" t="s">
        <v>3401</v>
      </c>
      <c r="Z197" s="322" t="s">
        <v>3386</v>
      </c>
      <c r="AA197" s="392">
        <v>26503</v>
      </c>
    </row>
    <row r="198" spans="17:27" ht="13.8">
      <c r="Q198" s="385">
        <f t="shared" si="2"/>
        <v>192</v>
      </c>
      <c r="R198" s="386" t="s">
        <v>1750</v>
      </c>
      <c r="S198" s="386" t="s">
        <v>1748</v>
      </c>
      <c r="T198" s="387" t="s">
        <v>1541</v>
      </c>
      <c r="U198" s="385" t="s">
        <v>1751</v>
      </c>
      <c r="V198" s="385" t="s">
        <v>1748</v>
      </c>
      <c r="W198" s="386" t="s">
        <v>3174</v>
      </c>
      <c r="X198" s="324" t="s">
        <v>3364</v>
      </c>
      <c r="Y198" s="324" t="s">
        <v>3400</v>
      </c>
      <c r="Z198" s="322" t="s">
        <v>3389</v>
      </c>
      <c r="AA198" s="392">
        <v>88464</v>
      </c>
    </row>
    <row r="199" spans="17:27" ht="13.8">
      <c r="Q199" s="385">
        <f t="shared" si="2"/>
        <v>193</v>
      </c>
      <c r="R199" s="386" t="s">
        <v>1752</v>
      </c>
      <c r="S199" s="386" t="s">
        <v>1753</v>
      </c>
      <c r="T199" s="387" t="s">
        <v>1174</v>
      </c>
      <c r="U199" s="385" t="s">
        <v>1754</v>
      </c>
      <c r="V199" s="385" t="s">
        <v>1753</v>
      </c>
      <c r="W199" s="386" t="s">
        <v>3175</v>
      </c>
      <c r="X199" s="324" t="s">
        <v>3364</v>
      </c>
      <c r="Y199" s="324" t="s">
        <v>3400</v>
      </c>
      <c r="Z199" s="322" t="s">
        <v>3381</v>
      </c>
      <c r="AA199" s="392">
        <v>14791</v>
      </c>
    </row>
    <row r="200" spans="17:27" ht="13.8">
      <c r="Q200" s="385">
        <f t="shared" si="2"/>
        <v>194</v>
      </c>
      <c r="R200" s="386" t="s">
        <v>1755</v>
      </c>
      <c r="S200" s="386" t="s">
        <v>1756</v>
      </c>
      <c r="T200" s="387" t="s">
        <v>1295</v>
      </c>
      <c r="U200" s="385" t="s">
        <v>1757</v>
      </c>
      <c r="V200" s="385" t="s">
        <v>2943</v>
      </c>
      <c r="W200" s="386" t="s">
        <v>2943</v>
      </c>
      <c r="X200" s="324" t="s">
        <v>3365</v>
      </c>
      <c r="Y200" s="324" t="s">
        <v>3400</v>
      </c>
      <c r="Z200" s="322" t="s">
        <v>3381</v>
      </c>
      <c r="AA200" s="392">
        <v>1401</v>
      </c>
    </row>
    <row r="201" spans="17:27" ht="13.8">
      <c r="Q201" s="385">
        <f t="shared" ref="Q201:Q264" si="3">Q200+1</f>
        <v>195</v>
      </c>
      <c r="R201" s="386" t="s">
        <v>1758</v>
      </c>
      <c r="S201" s="386" t="s">
        <v>1759</v>
      </c>
      <c r="T201" s="387" t="s">
        <v>1199</v>
      </c>
      <c r="U201" s="385" t="s">
        <v>1760</v>
      </c>
      <c r="V201" s="385" t="s">
        <v>1759</v>
      </c>
      <c r="W201" s="386" t="s">
        <v>2943</v>
      </c>
      <c r="X201" s="324" t="s">
        <v>3364</v>
      </c>
      <c r="Y201" s="324" t="s">
        <v>3401</v>
      </c>
      <c r="Z201" s="322" t="s">
        <v>3386</v>
      </c>
      <c r="AA201" s="392">
        <v>5196</v>
      </c>
    </row>
    <row r="202" spans="17:27" ht="13.8">
      <c r="Q202" s="385">
        <f t="shared" si="3"/>
        <v>196</v>
      </c>
      <c r="R202" s="386" t="s">
        <v>1761</v>
      </c>
      <c r="S202" s="386" t="s">
        <v>1762</v>
      </c>
      <c r="T202" s="387" t="s">
        <v>1318</v>
      </c>
      <c r="U202" s="385" t="s">
        <v>1763</v>
      </c>
      <c r="V202" s="385" t="s">
        <v>1762</v>
      </c>
      <c r="W202" s="386" t="s">
        <v>3176</v>
      </c>
      <c r="X202" s="324" t="s">
        <v>3364</v>
      </c>
      <c r="Y202" s="324" t="s">
        <v>3401</v>
      </c>
      <c r="Z202" s="322" t="s">
        <v>3386</v>
      </c>
      <c r="AA202" s="392">
        <v>13712</v>
      </c>
    </row>
    <row r="203" spans="17:27" ht="13.8">
      <c r="Q203" s="385">
        <f t="shared" si="3"/>
        <v>197</v>
      </c>
      <c r="R203" s="386" t="s">
        <v>1764</v>
      </c>
      <c r="S203" s="386" t="s">
        <v>1765</v>
      </c>
      <c r="T203" s="387" t="s">
        <v>1318</v>
      </c>
      <c r="U203" s="385" t="s">
        <v>1766</v>
      </c>
      <c r="V203" s="385" t="s">
        <v>1765</v>
      </c>
      <c r="W203" s="386" t="s">
        <v>3177</v>
      </c>
      <c r="X203" s="324" t="s">
        <v>3364</v>
      </c>
      <c r="Y203" s="324" t="s">
        <v>3401</v>
      </c>
      <c r="Z203" s="322" t="s">
        <v>3386</v>
      </c>
      <c r="AA203" s="392">
        <v>3838</v>
      </c>
    </row>
    <row r="204" spans="17:27" ht="13.8">
      <c r="Q204" s="385">
        <f t="shared" si="3"/>
        <v>198</v>
      </c>
      <c r="R204" s="386" t="s">
        <v>1767</v>
      </c>
      <c r="S204" s="386" t="s">
        <v>1768</v>
      </c>
      <c r="T204" s="387" t="s">
        <v>1192</v>
      </c>
      <c r="U204" s="385" t="s">
        <v>1769</v>
      </c>
      <c r="V204" s="385" t="s">
        <v>1768</v>
      </c>
      <c r="W204" s="386" t="s">
        <v>3178</v>
      </c>
      <c r="X204" s="324" t="s">
        <v>3364</v>
      </c>
      <c r="Y204" s="324" t="s">
        <v>3401</v>
      </c>
      <c r="Z204" s="322" t="s">
        <v>3383</v>
      </c>
      <c r="AA204" s="392">
        <v>1696</v>
      </c>
    </row>
    <row r="205" spans="17:27" ht="13.8">
      <c r="Q205" s="385">
        <f t="shared" si="3"/>
        <v>199</v>
      </c>
      <c r="R205" s="386" t="s">
        <v>1770</v>
      </c>
      <c r="S205" s="386" t="s">
        <v>1771</v>
      </c>
      <c r="T205" s="387" t="s">
        <v>1199</v>
      </c>
      <c r="U205" s="385" t="s">
        <v>1772</v>
      </c>
      <c r="V205" s="385" t="s">
        <v>1771</v>
      </c>
      <c r="W205" s="386" t="s">
        <v>3179</v>
      </c>
      <c r="X205" s="324" t="s">
        <v>3364</v>
      </c>
      <c r="Y205" s="324" t="s">
        <v>3400</v>
      </c>
      <c r="Z205" s="322" t="s">
        <v>3387</v>
      </c>
      <c r="AA205" s="392">
        <v>8213</v>
      </c>
    </row>
    <row r="206" spans="17:27" ht="13.8">
      <c r="Q206" s="385">
        <f t="shared" si="3"/>
        <v>200</v>
      </c>
      <c r="R206" s="386" t="s">
        <v>1773</v>
      </c>
      <c r="S206" s="386" t="s">
        <v>1774</v>
      </c>
      <c r="T206" s="387" t="s">
        <v>1192</v>
      </c>
      <c r="U206" s="385" t="s">
        <v>1775</v>
      </c>
      <c r="V206" s="385" t="s">
        <v>1774</v>
      </c>
      <c r="W206" s="386" t="s">
        <v>3180</v>
      </c>
      <c r="X206" s="324" t="s">
        <v>3364</v>
      </c>
      <c r="Y206" s="324" t="s">
        <v>3401</v>
      </c>
      <c r="Z206" s="322" t="s">
        <v>3383</v>
      </c>
      <c r="AA206" s="392">
        <v>2667</v>
      </c>
    </row>
    <row r="207" spans="17:27" ht="13.8">
      <c r="Q207" s="385">
        <f t="shared" si="3"/>
        <v>201</v>
      </c>
      <c r="R207" s="386" t="s">
        <v>1776</v>
      </c>
      <c r="S207" s="386" t="s">
        <v>1777</v>
      </c>
      <c r="T207" s="387" t="s">
        <v>1178</v>
      </c>
      <c r="U207" s="385" t="s">
        <v>1778</v>
      </c>
      <c r="V207" s="385" t="s">
        <v>2944</v>
      </c>
      <c r="W207" s="386" t="s">
        <v>2944</v>
      </c>
      <c r="X207" s="324" t="s">
        <v>3365</v>
      </c>
      <c r="Y207" s="324" t="s">
        <v>3400</v>
      </c>
      <c r="Z207" s="322" t="s">
        <v>3381</v>
      </c>
      <c r="AA207" s="392">
        <v>4664</v>
      </c>
    </row>
    <row r="208" spans="17:27" ht="13.8">
      <c r="Q208" s="385">
        <f t="shared" si="3"/>
        <v>202</v>
      </c>
      <c r="R208" s="386" t="s">
        <v>1779</v>
      </c>
      <c r="S208" s="386" t="s">
        <v>1780</v>
      </c>
      <c r="T208" s="387" t="s">
        <v>1246</v>
      </c>
      <c r="U208" s="385" t="s">
        <v>1781</v>
      </c>
      <c r="V208" s="385" t="s">
        <v>3181</v>
      </c>
      <c r="W208" s="386" t="s">
        <v>3181</v>
      </c>
      <c r="X208" s="324" t="s">
        <v>2858</v>
      </c>
      <c r="Y208" s="324" t="s">
        <v>3400</v>
      </c>
      <c r="Z208" s="322" t="s">
        <v>3394</v>
      </c>
      <c r="AA208" s="392">
        <v>13620</v>
      </c>
    </row>
    <row r="209" spans="17:27" ht="13.8">
      <c r="Q209" s="385">
        <f t="shared" si="3"/>
        <v>203</v>
      </c>
      <c r="R209" s="386" t="s">
        <v>1782</v>
      </c>
      <c r="S209" s="386" t="s">
        <v>1783</v>
      </c>
      <c r="T209" s="387" t="s">
        <v>1435</v>
      </c>
      <c r="U209" s="385" t="s">
        <v>1784</v>
      </c>
      <c r="V209" s="385" t="s">
        <v>1783</v>
      </c>
      <c r="W209" s="386" t="s">
        <v>3181</v>
      </c>
      <c r="X209" s="324" t="s">
        <v>3364</v>
      </c>
      <c r="Y209" s="324" t="s">
        <v>3401</v>
      </c>
      <c r="Z209" s="322" t="s">
        <v>3386</v>
      </c>
      <c r="AA209" s="392">
        <v>12417</v>
      </c>
    </row>
    <row r="210" spans="17:27" ht="13.8">
      <c r="Q210" s="385">
        <f t="shared" si="3"/>
        <v>204</v>
      </c>
      <c r="R210" s="386" t="s">
        <v>1785</v>
      </c>
      <c r="S210" s="386" t="s">
        <v>1786</v>
      </c>
      <c r="T210" s="387" t="s">
        <v>1229</v>
      </c>
      <c r="U210" s="385" t="s">
        <v>1787</v>
      </c>
      <c r="V210" s="385" t="s">
        <v>2945</v>
      </c>
      <c r="W210" s="386" t="s">
        <v>2945</v>
      </c>
      <c r="X210" s="324" t="s">
        <v>3365</v>
      </c>
      <c r="Y210" s="324" t="s">
        <v>3402</v>
      </c>
      <c r="Z210" s="322" t="s">
        <v>3385</v>
      </c>
      <c r="AA210" s="392">
        <v>337</v>
      </c>
    </row>
    <row r="211" spans="17:27" ht="13.8">
      <c r="Q211" s="385">
        <f t="shared" si="3"/>
        <v>205</v>
      </c>
      <c r="R211" s="386" t="s">
        <v>1788</v>
      </c>
      <c r="S211" s="386" t="s">
        <v>1789</v>
      </c>
      <c r="T211" s="387" t="s">
        <v>1178</v>
      </c>
      <c r="U211" s="385" t="s">
        <v>1790</v>
      </c>
      <c r="V211" s="385" t="s">
        <v>2946</v>
      </c>
      <c r="W211" s="386" t="s">
        <v>2946</v>
      </c>
      <c r="X211" s="324" t="s">
        <v>3365</v>
      </c>
      <c r="Y211" s="324" t="s">
        <v>3400</v>
      </c>
      <c r="Z211" s="322" t="s">
        <v>3381</v>
      </c>
      <c r="AA211" s="392">
        <v>11842</v>
      </c>
    </row>
    <row r="212" spans="17:27" ht="13.8">
      <c r="Q212" s="385">
        <f t="shared" si="3"/>
        <v>206</v>
      </c>
      <c r="R212" s="386" t="s">
        <v>1791</v>
      </c>
      <c r="S212" s="386" t="s">
        <v>1792</v>
      </c>
      <c r="T212" s="387" t="s">
        <v>1178</v>
      </c>
      <c r="U212" s="385" t="s">
        <v>1793</v>
      </c>
      <c r="V212" s="385" t="s">
        <v>2947</v>
      </c>
      <c r="W212" s="386" t="s">
        <v>2947</v>
      </c>
      <c r="X212" s="324" t="s">
        <v>3365</v>
      </c>
      <c r="Y212" s="324" t="s">
        <v>3400</v>
      </c>
      <c r="Z212" s="322" t="s">
        <v>3381</v>
      </c>
      <c r="AA212" s="392">
        <v>3382</v>
      </c>
    </row>
    <row r="213" spans="17:27" ht="13.8">
      <c r="Q213" s="385">
        <f t="shared" si="3"/>
        <v>207</v>
      </c>
      <c r="R213" s="386" t="s">
        <v>1794</v>
      </c>
      <c r="S213" s="386" t="s">
        <v>1795</v>
      </c>
      <c r="T213" s="387" t="s">
        <v>1308</v>
      </c>
      <c r="U213" s="385" t="s">
        <v>1796</v>
      </c>
      <c r="V213" s="385" t="s">
        <v>2948</v>
      </c>
      <c r="W213" s="386" t="s">
        <v>2948</v>
      </c>
      <c r="X213" s="324" t="s">
        <v>3365</v>
      </c>
      <c r="Y213" s="324" t="s">
        <v>3400</v>
      </c>
      <c r="Z213" s="322" t="s">
        <v>3382</v>
      </c>
      <c r="AA213" s="392">
        <v>18791</v>
      </c>
    </row>
    <row r="214" spans="17:27" ht="13.8">
      <c r="Q214" s="385">
        <f t="shared" si="3"/>
        <v>208</v>
      </c>
      <c r="R214" s="386" t="s">
        <v>1797</v>
      </c>
      <c r="S214" s="386" t="s">
        <v>1798</v>
      </c>
      <c r="T214" s="387" t="s">
        <v>1170</v>
      </c>
      <c r="U214" s="385" t="s">
        <v>1799</v>
      </c>
      <c r="V214" s="385" t="s">
        <v>1798</v>
      </c>
      <c r="W214" s="386" t="s">
        <v>3182</v>
      </c>
      <c r="X214" s="324" t="s">
        <v>3364</v>
      </c>
      <c r="Y214" s="324" t="s">
        <v>3401</v>
      </c>
      <c r="Z214" s="322" t="s">
        <v>3386</v>
      </c>
      <c r="AA214" s="392">
        <v>20334</v>
      </c>
    </row>
    <row r="215" spans="17:27" ht="13.8">
      <c r="Q215" s="385">
        <f t="shared" si="3"/>
        <v>209</v>
      </c>
      <c r="R215" s="386" t="s">
        <v>1800</v>
      </c>
      <c r="S215" s="386" t="s">
        <v>1801</v>
      </c>
      <c r="T215" s="387" t="s">
        <v>1401</v>
      </c>
      <c r="U215" s="385" t="s">
        <v>1802</v>
      </c>
      <c r="V215" s="385" t="s">
        <v>2949</v>
      </c>
      <c r="W215" s="386" t="s">
        <v>2949</v>
      </c>
      <c r="X215" s="324" t="s">
        <v>3365</v>
      </c>
      <c r="Y215" s="324" t="s">
        <v>3400</v>
      </c>
      <c r="Z215" s="322" t="s">
        <v>3381</v>
      </c>
      <c r="AA215" s="392">
        <v>2178</v>
      </c>
    </row>
    <row r="216" spans="17:27" ht="13.8">
      <c r="Q216" s="385">
        <f t="shared" si="3"/>
        <v>210</v>
      </c>
      <c r="R216" s="386" t="s">
        <v>1803</v>
      </c>
      <c r="S216" s="386" t="s">
        <v>1804</v>
      </c>
      <c r="T216" s="387" t="s">
        <v>1295</v>
      </c>
      <c r="U216" s="385" t="s">
        <v>1805</v>
      </c>
      <c r="V216" s="385" t="s">
        <v>2950</v>
      </c>
      <c r="W216" s="386" t="s">
        <v>2950</v>
      </c>
      <c r="X216" s="324" t="s">
        <v>3365</v>
      </c>
      <c r="Y216" s="324" t="s">
        <v>3400</v>
      </c>
      <c r="Z216" s="322" t="s">
        <v>3381</v>
      </c>
      <c r="AA216" s="392">
        <v>3648</v>
      </c>
    </row>
    <row r="217" spans="17:27" ht="13.8">
      <c r="Q217" s="385">
        <f t="shared" si="3"/>
        <v>211</v>
      </c>
      <c r="R217" s="386" t="s">
        <v>1806</v>
      </c>
      <c r="S217" s="386" t="s">
        <v>1807</v>
      </c>
      <c r="T217" s="387" t="s">
        <v>1401</v>
      </c>
      <c r="U217" s="385" t="s">
        <v>1808</v>
      </c>
      <c r="V217" s="385" t="s">
        <v>2951</v>
      </c>
      <c r="W217" s="386" t="s">
        <v>2951</v>
      </c>
      <c r="X217" s="324" t="s">
        <v>3365</v>
      </c>
      <c r="Y217" s="324" t="s">
        <v>3400</v>
      </c>
      <c r="Z217" s="322" t="s">
        <v>3381</v>
      </c>
      <c r="AA217" s="392">
        <v>13982</v>
      </c>
    </row>
    <row r="218" spans="17:27" ht="13.8">
      <c r="Q218" s="385">
        <f t="shared" si="3"/>
        <v>212</v>
      </c>
      <c r="R218" s="386" t="s">
        <v>1809</v>
      </c>
      <c r="S218" s="386" t="s">
        <v>1810</v>
      </c>
      <c r="T218" s="387" t="s">
        <v>1170</v>
      </c>
      <c r="U218" s="385" t="s">
        <v>1811</v>
      </c>
      <c r="V218" s="385" t="s">
        <v>2952</v>
      </c>
      <c r="W218" s="386" t="s">
        <v>2952</v>
      </c>
      <c r="X218" s="324" t="s">
        <v>3365</v>
      </c>
      <c r="Y218" s="324" t="s">
        <v>3400</v>
      </c>
      <c r="Z218" s="322" t="s">
        <v>3384</v>
      </c>
      <c r="AA218" s="392">
        <v>5005</v>
      </c>
    </row>
    <row r="219" spans="17:27" ht="13.8">
      <c r="Q219" s="385">
        <f t="shared" si="3"/>
        <v>213</v>
      </c>
      <c r="R219" s="386" t="s">
        <v>1812</v>
      </c>
      <c r="S219" s="386" t="s">
        <v>1813</v>
      </c>
      <c r="T219" s="387" t="s">
        <v>1541</v>
      </c>
      <c r="U219" s="385" t="s">
        <v>1814</v>
      </c>
      <c r="V219" s="385" t="s">
        <v>2953</v>
      </c>
      <c r="W219" s="386" t="s">
        <v>2953</v>
      </c>
      <c r="X219" s="324" t="s">
        <v>3365</v>
      </c>
      <c r="Y219" s="324" t="s">
        <v>3400</v>
      </c>
      <c r="Z219" s="322" t="s">
        <v>3381</v>
      </c>
      <c r="AA219" s="392">
        <v>5494</v>
      </c>
    </row>
    <row r="220" spans="17:27" ht="13.8">
      <c r="Q220" s="385">
        <f t="shared" si="3"/>
        <v>214</v>
      </c>
      <c r="R220" s="386" t="s">
        <v>1815</v>
      </c>
      <c r="S220" s="386" t="s">
        <v>1816</v>
      </c>
      <c r="T220" s="387" t="s">
        <v>1256</v>
      </c>
      <c r="U220" s="385" t="s">
        <v>1817</v>
      </c>
      <c r="V220" s="385" t="s">
        <v>1816</v>
      </c>
      <c r="W220" s="386" t="s">
        <v>3183</v>
      </c>
      <c r="X220" s="324" t="s">
        <v>3364</v>
      </c>
      <c r="Y220" s="324" t="s">
        <v>3401</v>
      </c>
      <c r="Z220" s="322" t="s">
        <v>3386</v>
      </c>
      <c r="AA220" s="392">
        <v>38303</v>
      </c>
    </row>
    <row r="221" spans="17:27" ht="13.8">
      <c r="Q221" s="385">
        <f t="shared" si="3"/>
        <v>215</v>
      </c>
      <c r="R221" s="386" t="s">
        <v>1818</v>
      </c>
      <c r="S221" s="386" t="s">
        <v>1819</v>
      </c>
      <c r="T221" s="387" t="s">
        <v>1178</v>
      </c>
      <c r="U221" s="385" t="s">
        <v>1820</v>
      </c>
      <c r="V221" s="385" t="s">
        <v>2954</v>
      </c>
      <c r="W221" s="386" t="s">
        <v>2954</v>
      </c>
      <c r="X221" s="324" t="s">
        <v>3365</v>
      </c>
      <c r="Y221" s="324" t="s">
        <v>3400</v>
      </c>
      <c r="Z221" s="322" t="s">
        <v>3381</v>
      </c>
      <c r="AA221" s="392">
        <v>10219</v>
      </c>
    </row>
    <row r="222" spans="17:27" ht="13.8">
      <c r="Q222" s="385">
        <f t="shared" si="3"/>
        <v>216</v>
      </c>
      <c r="R222" s="386" t="s">
        <v>1821</v>
      </c>
      <c r="S222" s="386" t="s">
        <v>1822</v>
      </c>
      <c r="T222" s="387" t="s">
        <v>1276</v>
      </c>
      <c r="U222" s="385" t="s">
        <v>1823</v>
      </c>
      <c r="V222" s="385" t="s">
        <v>1822</v>
      </c>
      <c r="W222" s="386" t="s">
        <v>3184</v>
      </c>
      <c r="X222" s="324" t="s">
        <v>3364</v>
      </c>
      <c r="Y222" s="324" t="s">
        <v>3400</v>
      </c>
      <c r="Z222" s="322" t="s">
        <v>3382</v>
      </c>
      <c r="AA222" s="392">
        <v>21404</v>
      </c>
    </row>
    <row r="223" spans="17:27" ht="13.8">
      <c r="Q223" s="385">
        <f t="shared" si="3"/>
        <v>217</v>
      </c>
      <c r="R223" s="386" t="s">
        <v>1824</v>
      </c>
      <c r="S223" s="386" t="s">
        <v>1825</v>
      </c>
      <c r="T223" s="387" t="s">
        <v>1215</v>
      </c>
      <c r="U223" s="385" t="s">
        <v>1826</v>
      </c>
      <c r="V223" s="385" t="s">
        <v>2955</v>
      </c>
      <c r="W223" s="386" t="s">
        <v>2955</v>
      </c>
      <c r="X223" s="324" t="s">
        <v>3365</v>
      </c>
      <c r="Y223" s="324" t="s">
        <v>3400</v>
      </c>
      <c r="Z223" s="322" t="s">
        <v>3381</v>
      </c>
      <c r="AA223" s="392">
        <v>870</v>
      </c>
    </row>
    <row r="224" spans="17:27" ht="13.8">
      <c r="Q224" s="385">
        <f t="shared" si="3"/>
        <v>218</v>
      </c>
      <c r="R224" s="386" t="s">
        <v>1827</v>
      </c>
      <c r="S224" s="386" t="s">
        <v>1828</v>
      </c>
      <c r="T224" s="387" t="s">
        <v>1246</v>
      </c>
      <c r="U224" s="385" t="s">
        <v>1829</v>
      </c>
      <c r="V224" s="385" t="s">
        <v>3322</v>
      </c>
      <c r="W224" s="386" t="s">
        <v>3322</v>
      </c>
      <c r="X224" s="324" t="s">
        <v>3366</v>
      </c>
      <c r="Y224" s="324" t="s">
        <v>3400</v>
      </c>
      <c r="Z224" s="322" t="s">
        <v>3388</v>
      </c>
      <c r="AA224" s="392">
        <v>50005</v>
      </c>
    </row>
    <row r="225" spans="17:27" ht="13.8">
      <c r="Q225" s="385">
        <f t="shared" si="3"/>
        <v>219</v>
      </c>
      <c r="R225" s="386" t="s">
        <v>1830</v>
      </c>
      <c r="S225" s="386" t="s">
        <v>1831</v>
      </c>
      <c r="T225" s="387" t="s">
        <v>1178</v>
      </c>
      <c r="U225" s="385" t="s">
        <v>1832</v>
      </c>
      <c r="V225" s="385" t="s">
        <v>2956</v>
      </c>
      <c r="W225" s="386" t="s">
        <v>2956</v>
      </c>
      <c r="X225" s="324" t="s">
        <v>3365</v>
      </c>
      <c r="Y225" s="324" t="s">
        <v>3400</v>
      </c>
      <c r="Z225" s="322" t="s">
        <v>3381</v>
      </c>
      <c r="AA225" s="392">
        <v>4078</v>
      </c>
    </row>
    <row r="226" spans="17:27" ht="13.8">
      <c r="Q226" s="385">
        <f t="shared" si="3"/>
        <v>220</v>
      </c>
      <c r="R226" s="386" t="s">
        <v>1833</v>
      </c>
      <c r="S226" s="386" t="s">
        <v>1834</v>
      </c>
      <c r="T226" s="387" t="s">
        <v>1295</v>
      </c>
      <c r="U226" s="385" t="s">
        <v>1835</v>
      </c>
      <c r="V226" s="385" t="s">
        <v>1834</v>
      </c>
      <c r="W226" s="386" t="s">
        <v>3185</v>
      </c>
      <c r="X226" s="324" t="s">
        <v>3364</v>
      </c>
      <c r="Y226" s="324" t="s">
        <v>3401</v>
      </c>
      <c r="Z226" s="322" t="s">
        <v>3386</v>
      </c>
      <c r="AA226" s="392">
        <v>5291</v>
      </c>
    </row>
    <row r="227" spans="17:27" ht="13.8">
      <c r="Q227" s="385">
        <f t="shared" si="3"/>
        <v>221</v>
      </c>
      <c r="R227" s="386" t="s">
        <v>1836</v>
      </c>
      <c r="S227" s="386" t="s">
        <v>1837</v>
      </c>
      <c r="T227" s="387" t="s">
        <v>1170</v>
      </c>
      <c r="U227" s="385" t="s">
        <v>1838</v>
      </c>
      <c r="V227" s="385" t="s">
        <v>1837</v>
      </c>
      <c r="W227" s="386" t="s">
        <v>3186</v>
      </c>
      <c r="X227" s="324" t="s">
        <v>3364</v>
      </c>
      <c r="Y227" s="324" t="s">
        <v>3401</v>
      </c>
      <c r="Z227" s="322" t="s">
        <v>3386</v>
      </c>
      <c r="AA227" s="392">
        <v>16773</v>
      </c>
    </row>
    <row r="228" spans="17:27" ht="13.8">
      <c r="Q228" s="385">
        <f t="shared" si="3"/>
        <v>222</v>
      </c>
      <c r="R228" s="386" t="s">
        <v>1839</v>
      </c>
      <c r="S228" s="386" t="s">
        <v>1840</v>
      </c>
      <c r="T228" s="387" t="s">
        <v>1199</v>
      </c>
      <c r="U228" s="385" t="s">
        <v>1841</v>
      </c>
      <c r="V228" s="385" t="s">
        <v>2957</v>
      </c>
      <c r="W228" s="386" t="s">
        <v>2957</v>
      </c>
      <c r="X228" s="324" t="s">
        <v>3365</v>
      </c>
      <c r="Y228" s="324" t="s">
        <v>3400</v>
      </c>
      <c r="Z228" s="322" t="s">
        <v>3381</v>
      </c>
      <c r="AA228" s="392">
        <v>15147</v>
      </c>
    </row>
    <row r="229" spans="17:27" ht="13.8">
      <c r="Q229" s="385">
        <f t="shared" si="3"/>
        <v>223</v>
      </c>
      <c r="R229" s="386" t="s">
        <v>1842</v>
      </c>
      <c r="S229" s="386" t="s">
        <v>1843</v>
      </c>
      <c r="T229" s="387" t="s">
        <v>1192</v>
      </c>
      <c r="U229" s="385" t="s">
        <v>1844</v>
      </c>
      <c r="V229" s="385" t="s">
        <v>1843</v>
      </c>
      <c r="W229" s="386" t="s">
        <v>3187</v>
      </c>
      <c r="X229" s="324" t="s">
        <v>3364</v>
      </c>
      <c r="Y229" s="324" t="s">
        <v>3401</v>
      </c>
      <c r="Z229" s="322" t="s">
        <v>3383</v>
      </c>
      <c r="AA229" s="392">
        <v>1952</v>
      </c>
    </row>
    <row r="230" spans="17:27" ht="13.8">
      <c r="Q230" s="385">
        <f t="shared" si="3"/>
        <v>224</v>
      </c>
      <c r="R230" s="386" t="s">
        <v>1845</v>
      </c>
      <c r="S230" s="386" t="s">
        <v>1846</v>
      </c>
      <c r="T230" s="387" t="s">
        <v>1541</v>
      </c>
      <c r="U230" s="385" t="s">
        <v>1847</v>
      </c>
      <c r="V230" s="385" t="s">
        <v>2958</v>
      </c>
      <c r="W230" s="386" t="s">
        <v>2958</v>
      </c>
      <c r="X230" s="324" t="s">
        <v>3365</v>
      </c>
      <c r="Y230" s="324" t="s">
        <v>3400</v>
      </c>
      <c r="Z230" s="322" t="s">
        <v>3381</v>
      </c>
      <c r="AA230" s="392">
        <v>1922</v>
      </c>
    </row>
    <row r="231" spans="17:27" ht="13.8">
      <c r="Q231" s="385">
        <f t="shared" si="3"/>
        <v>225</v>
      </c>
      <c r="R231" s="386" t="s">
        <v>1848</v>
      </c>
      <c r="S231" s="386" t="s">
        <v>1849</v>
      </c>
      <c r="T231" s="387" t="s">
        <v>1346</v>
      </c>
      <c r="U231" s="385" t="s">
        <v>1850</v>
      </c>
      <c r="V231" s="385" t="s">
        <v>1849</v>
      </c>
      <c r="W231" s="386" t="s">
        <v>2958</v>
      </c>
      <c r="X231" s="324" t="s">
        <v>3364</v>
      </c>
      <c r="Y231" s="324" t="s">
        <v>3401</v>
      </c>
      <c r="Z231" s="322" t="s">
        <v>3386</v>
      </c>
      <c r="AA231" s="392">
        <v>4571</v>
      </c>
    </row>
    <row r="232" spans="17:27" ht="13.8">
      <c r="Q232" s="385">
        <f t="shared" si="3"/>
        <v>226</v>
      </c>
      <c r="R232" s="386" t="s">
        <v>1851</v>
      </c>
      <c r="S232" s="386" t="s">
        <v>1849</v>
      </c>
      <c r="T232" s="387" t="s">
        <v>1541</v>
      </c>
      <c r="U232" s="385" t="s">
        <v>1852</v>
      </c>
      <c r="V232" s="385" t="s">
        <v>1849</v>
      </c>
      <c r="W232" s="386" t="s">
        <v>2958</v>
      </c>
      <c r="X232" s="324" t="s">
        <v>3364</v>
      </c>
      <c r="Y232" s="324" t="s">
        <v>3401</v>
      </c>
      <c r="Z232" s="322" t="s">
        <v>3386</v>
      </c>
      <c r="AA232" s="392">
        <v>17304</v>
      </c>
    </row>
    <row r="233" spans="17:27" ht="13.8">
      <c r="Q233" s="385">
        <f t="shared" si="3"/>
        <v>227</v>
      </c>
      <c r="R233" s="386" t="s">
        <v>1853</v>
      </c>
      <c r="S233" s="386" t="s">
        <v>1854</v>
      </c>
      <c r="T233" s="387" t="s">
        <v>1170</v>
      </c>
      <c r="U233" s="385" t="s">
        <v>1855</v>
      </c>
      <c r="V233" s="385" t="s">
        <v>1854</v>
      </c>
      <c r="W233" s="386" t="s">
        <v>3188</v>
      </c>
      <c r="X233" s="324" t="s">
        <v>3364</v>
      </c>
      <c r="Y233" s="324" t="s">
        <v>3400</v>
      </c>
      <c r="Z233" s="322" t="s">
        <v>3384</v>
      </c>
      <c r="AA233" s="392">
        <v>51075</v>
      </c>
    </row>
    <row r="234" spans="17:27" ht="13.8">
      <c r="Q234" s="385">
        <f t="shared" si="3"/>
        <v>228</v>
      </c>
      <c r="R234" s="386" t="s">
        <v>1856</v>
      </c>
      <c r="S234" s="386" t="s">
        <v>1857</v>
      </c>
      <c r="T234" s="387" t="s">
        <v>1192</v>
      </c>
      <c r="U234" s="385" t="s">
        <v>1858</v>
      </c>
      <c r="V234" s="385" t="s">
        <v>1857</v>
      </c>
      <c r="W234" s="386" t="s">
        <v>3189</v>
      </c>
      <c r="X234" s="324" t="s">
        <v>3364</v>
      </c>
      <c r="Y234" s="324" t="s">
        <v>3401</v>
      </c>
      <c r="Z234" s="322" t="s">
        <v>3386</v>
      </c>
      <c r="AA234" s="392">
        <v>5662</v>
      </c>
    </row>
    <row r="235" spans="17:27" ht="13.8">
      <c r="Q235" s="385">
        <f t="shared" si="3"/>
        <v>229</v>
      </c>
      <c r="R235" s="386" t="s">
        <v>1859</v>
      </c>
      <c r="S235" s="386" t="s">
        <v>1860</v>
      </c>
      <c r="T235" s="387" t="s">
        <v>1170</v>
      </c>
      <c r="U235" s="385" t="s">
        <v>1861</v>
      </c>
      <c r="V235" s="385" t="s">
        <v>2959</v>
      </c>
      <c r="W235" s="386" t="s">
        <v>2959</v>
      </c>
      <c r="X235" s="324" t="s">
        <v>3365</v>
      </c>
      <c r="Y235" s="324" t="s">
        <v>3400</v>
      </c>
      <c r="Z235" s="322" t="s">
        <v>3381</v>
      </c>
      <c r="AA235" s="392">
        <v>820</v>
      </c>
    </row>
    <row r="236" spans="17:27" ht="13.8">
      <c r="Q236" s="385">
        <f t="shared" si="3"/>
        <v>230</v>
      </c>
      <c r="R236" s="386" t="s">
        <v>1862</v>
      </c>
      <c r="S236" s="386" t="s">
        <v>1863</v>
      </c>
      <c r="T236" s="387" t="s">
        <v>1260</v>
      </c>
      <c r="U236" s="385" t="s">
        <v>1864</v>
      </c>
      <c r="V236" s="385" t="s">
        <v>1863</v>
      </c>
      <c r="W236" s="386" t="s">
        <v>3190</v>
      </c>
      <c r="X236" s="324" t="s">
        <v>3364</v>
      </c>
      <c r="Y236" s="324" t="s">
        <v>3400</v>
      </c>
      <c r="Z236" s="322" t="s">
        <v>3381</v>
      </c>
      <c r="AA236" s="392">
        <v>53926</v>
      </c>
    </row>
    <row r="237" spans="17:27" ht="13.8">
      <c r="Q237" s="385">
        <f t="shared" si="3"/>
        <v>231</v>
      </c>
      <c r="R237" s="386" t="s">
        <v>1865</v>
      </c>
      <c r="S237" s="386" t="s">
        <v>1866</v>
      </c>
      <c r="T237" s="387" t="s">
        <v>1229</v>
      </c>
      <c r="U237" s="385" t="s">
        <v>1867</v>
      </c>
      <c r="V237" s="385" t="s">
        <v>2960</v>
      </c>
      <c r="W237" s="386" t="s">
        <v>2960</v>
      </c>
      <c r="X237" s="324" t="s">
        <v>3365</v>
      </c>
      <c r="Y237" s="324" t="s">
        <v>3400</v>
      </c>
      <c r="Z237" s="322" t="s">
        <v>3381</v>
      </c>
      <c r="AA237" s="392">
        <v>1673</v>
      </c>
    </row>
    <row r="238" spans="17:27" ht="13.8">
      <c r="Q238" s="385">
        <f t="shared" si="3"/>
        <v>232</v>
      </c>
      <c r="R238" s="386" t="s">
        <v>1868</v>
      </c>
      <c r="S238" s="386" t="s">
        <v>1869</v>
      </c>
      <c r="T238" s="387" t="s">
        <v>1229</v>
      </c>
      <c r="U238" s="385" t="s">
        <v>1870</v>
      </c>
      <c r="V238" s="385" t="s">
        <v>1869</v>
      </c>
      <c r="W238" s="386" t="s">
        <v>3191</v>
      </c>
      <c r="X238" s="324" t="s">
        <v>3364</v>
      </c>
      <c r="Y238" s="324" t="s">
        <v>3401</v>
      </c>
      <c r="Z238" s="322" t="s">
        <v>3386</v>
      </c>
      <c r="AA238" s="392">
        <v>54856</v>
      </c>
    </row>
    <row r="239" spans="17:27" ht="13.8">
      <c r="Q239" s="385">
        <f t="shared" si="3"/>
        <v>233</v>
      </c>
      <c r="R239" s="386" t="s">
        <v>1871</v>
      </c>
      <c r="S239" s="386" t="s">
        <v>1872</v>
      </c>
      <c r="T239" s="387" t="s">
        <v>1401</v>
      </c>
      <c r="U239" s="385" t="s">
        <v>1873</v>
      </c>
      <c r="V239" s="385" t="s">
        <v>2961</v>
      </c>
      <c r="W239" s="386" t="s">
        <v>2961</v>
      </c>
      <c r="X239" s="324" t="s">
        <v>3365</v>
      </c>
      <c r="Y239" s="324" t="s">
        <v>3400</v>
      </c>
      <c r="Z239" s="322" t="s">
        <v>3381</v>
      </c>
      <c r="AA239" s="392">
        <v>5915</v>
      </c>
    </row>
    <row r="240" spans="17:27" ht="13.8">
      <c r="Q240" s="385">
        <f t="shared" si="3"/>
        <v>234</v>
      </c>
      <c r="R240" s="386" t="s">
        <v>1874</v>
      </c>
      <c r="S240" s="386" t="s">
        <v>1875</v>
      </c>
      <c r="T240" s="387" t="s">
        <v>1318</v>
      </c>
      <c r="U240" s="385" t="s">
        <v>1876</v>
      </c>
      <c r="V240" s="385" t="s">
        <v>1875</v>
      </c>
      <c r="W240" s="386" t="s">
        <v>3192</v>
      </c>
      <c r="X240" s="324" t="s">
        <v>3364</v>
      </c>
      <c r="Y240" s="324" t="s">
        <v>3400</v>
      </c>
      <c r="Z240" s="322" t="s">
        <v>3389</v>
      </c>
      <c r="AA240" s="392">
        <v>21314</v>
      </c>
    </row>
    <row r="241" spans="17:27" ht="13.8">
      <c r="Q241" s="385">
        <f t="shared" si="3"/>
        <v>235</v>
      </c>
      <c r="R241" s="386" t="s">
        <v>1877</v>
      </c>
      <c r="S241" s="386" t="s">
        <v>1878</v>
      </c>
      <c r="T241" s="387" t="s">
        <v>1246</v>
      </c>
      <c r="U241" s="385" t="s">
        <v>1879</v>
      </c>
      <c r="V241" s="385" t="s">
        <v>3361</v>
      </c>
      <c r="W241" s="386" t="s">
        <v>3361</v>
      </c>
      <c r="X241" s="324" t="s">
        <v>3366</v>
      </c>
      <c r="Y241" s="324" t="s">
        <v>3400</v>
      </c>
      <c r="Z241" s="322" t="s">
        <v>3388</v>
      </c>
      <c r="AA241" s="392">
        <v>247597</v>
      </c>
    </row>
    <row r="242" spans="17:27" ht="13.8">
      <c r="Q242" s="385">
        <f t="shared" si="3"/>
        <v>236</v>
      </c>
      <c r="R242" s="386" t="s">
        <v>1880</v>
      </c>
      <c r="S242" s="386" t="s">
        <v>1881</v>
      </c>
      <c r="T242" s="387" t="s">
        <v>1170</v>
      </c>
      <c r="U242" s="385" t="s">
        <v>1882</v>
      </c>
      <c r="V242" s="385" t="s">
        <v>2962</v>
      </c>
      <c r="W242" s="386" t="s">
        <v>2962</v>
      </c>
      <c r="X242" s="324" t="s">
        <v>3365</v>
      </c>
      <c r="Y242" s="324" t="s">
        <v>3400</v>
      </c>
      <c r="Z242" s="322" t="s">
        <v>3387</v>
      </c>
      <c r="AA242" s="392">
        <v>10105</v>
      </c>
    </row>
    <row r="243" spans="17:27" ht="13.8">
      <c r="Q243" s="385">
        <f t="shared" si="3"/>
        <v>237</v>
      </c>
      <c r="R243" s="386" t="s">
        <v>1883</v>
      </c>
      <c r="S243" s="386" t="s">
        <v>1884</v>
      </c>
      <c r="T243" s="387" t="s">
        <v>1246</v>
      </c>
      <c r="U243" s="385" t="s">
        <v>1885</v>
      </c>
      <c r="V243" s="385" t="s">
        <v>3352</v>
      </c>
      <c r="W243" s="386" t="s">
        <v>3352</v>
      </c>
      <c r="X243" s="324" t="s">
        <v>2858</v>
      </c>
      <c r="Y243" s="324" t="s">
        <v>3400</v>
      </c>
      <c r="Z243" s="322" t="s">
        <v>3394</v>
      </c>
      <c r="AA243" s="392">
        <v>40684</v>
      </c>
    </row>
    <row r="244" spans="17:27" ht="13.8">
      <c r="Q244" s="385">
        <f t="shared" si="3"/>
        <v>238</v>
      </c>
      <c r="R244" s="386" t="s">
        <v>1886</v>
      </c>
      <c r="S244" s="386" t="s">
        <v>1887</v>
      </c>
      <c r="T244" s="387" t="s">
        <v>1276</v>
      </c>
      <c r="U244" s="385" t="s">
        <v>1888</v>
      </c>
      <c r="V244" s="385" t="s">
        <v>2963</v>
      </c>
      <c r="W244" s="386" t="s">
        <v>2963</v>
      </c>
      <c r="X244" s="324" t="s">
        <v>3365</v>
      </c>
      <c r="Y244" s="324" t="s">
        <v>3400</v>
      </c>
      <c r="Z244" s="322" t="s">
        <v>3381</v>
      </c>
      <c r="AA244" s="392">
        <v>7914</v>
      </c>
    </row>
    <row r="245" spans="17:27" ht="13.8">
      <c r="Q245" s="385">
        <f t="shared" si="3"/>
        <v>239</v>
      </c>
      <c r="R245" s="386" t="s">
        <v>1889</v>
      </c>
      <c r="S245" s="386" t="s">
        <v>1890</v>
      </c>
      <c r="T245" s="387" t="s">
        <v>1170</v>
      </c>
      <c r="U245" s="385" t="s">
        <v>1891</v>
      </c>
      <c r="V245" s="385" t="s">
        <v>2964</v>
      </c>
      <c r="W245" s="386" t="s">
        <v>2964</v>
      </c>
      <c r="X245" s="324" t="s">
        <v>3365</v>
      </c>
      <c r="Y245" s="324" t="s">
        <v>3400</v>
      </c>
      <c r="Z245" s="322" t="s">
        <v>3381</v>
      </c>
      <c r="AA245" s="392">
        <v>7240</v>
      </c>
    </row>
    <row r="246" spans="17:27" ht="13.8">
      <c r="Q246" s="385">
        <f t="shared" si="3"/>
        <v>240</v>
      </c>
      <c r="R246" s="386" t="s">
        <v>1892</v>
      </c>
      <c r="S246" s="386" t="s">
        <v>1893</v>
      </c>
      <c r="T246" s="387" t="s">
        <v>1295</v>
      </c>
      <c r="U246" s="385" t="s">
        <v>1894</v>
      </c>
      <c r="V246" s="385" t="s">
        <v>1893</v>
      </c>
      <c r="W246" s="386" t="s">
        <v>3193</v>
      </c>
      <c r="X246" s="324" t="s">
        <v>3364</v>
      </c>
      <c r="Y246" s="324" t="s">
        <v>3401</v>
      </c>
      <c r="Z246" s="322" t="s">
        <v>3383</v>
      </c>
      <c r="AA246" s="392">
        <v>3845</v>
      </c>
    </row>
    <row r="247" spans="17:27" ht="13.8">
      <c r="Q247" s="385">
        <f t="shared" si="3"/>
        <v>241</v>
      </c>
      <c r="R247" s="386" t="s">
        <v>1895</v>
      </c>
      <c r="S247" s="386" t="s">
        <v>1896</v>
      </c>
      <c r="T247" s="387" t="s">
        <v>1318</v>
      </c>
      <c r="U247" s="385" t="s">
        <v>1897</v>
      </c>
      <c r="V247" s="385" t="s">
        <v>2965</v>
      </c>
      <c r="W247" s="386" t="s">
        <v>2965</v>
      </c>
      <c r="X247" s="324" t="s">
        <v>3365</v>
      </c>
      <c r="Y247" s="324" t="s">
        <v>3400</v>
      </c>
      <c r="Z247" s="322" t="s">
        <v>3381</v>
      </c>
      <c r="AA247" s="392">
        <v>10248</v>
      </c>
    </row>
    <row r="248" spans="17:27" ht="13.8">
      <c r="Q248" s="385">
        <f t="shared" si="3"/>
        <v>242</v>
      </c>
      <c r="R248" s="386" t="s">
        <v>1898</v>
      </c>
      <c r="S248" s="386" t="s">
        <v>1899</v>
      </c>
      <c r="T248" s="387" t="s">
        <v>1192</v>
      </c>
      <c r="U248" s="385" t="s">
        <v>1900</v>
      </c>
      <c r="V248" s="385" t="s">
        <v>1899</v>
      </c>
      <c r="W248" s="386" t="s">
        <v>3194</v>
      </c>
      <c r="X248" s="324" t="s">
        <v>3364</v>
      </c>
      <c r="Y248" s="324" t="s">
        <v>3401</v>
      </c>
      <c r="Z248" s="322" t="s">
        <v>3386</v>
      </c>
      <c r="AA248" s="392">
        <v>3055</v>
      </c>
    </row>
    <row r="249" spans="17:27" ht="13.8">
      <c r="Q249" s="385">
        <f t="shared" si="3"/>
        <v>243</v>
      </c>
      <c r="R249" s="386" t="s">
        <v>1901</v>
      </c>
      <c r="S249" s="386" t="s">
        <v>1902</v>
      </c>
      <c r="T249" s="387" t="s">
        <v>1229</v>
      </c>
      <c r="U249" s="385" t="s">
        <v>1903</v>
      </c>
      <c r="V249" s="385" t="s">
        <v>1902</v>
      </c>
      <c r="W249" s="386" t="s">
        <v>3195</v>
      </c>
      <c r="X249" s="324" t="s">
        <v>3364</v>
      </c>
      <c r="Y249" s="324" t="s">
        <v>3401</v>
      </c>
      <c r="Z249" s="322" t="s">
        <v>3386</v>
      </c>
      <c r="AA249" s="392">
        <v>27644</v>
      </c>
    </row>
    <row r="250" spans="17:27" ht="13.8">
      <c r="Q250" s="385">
        <f t="shared" si="3"/>
        <v>244</v>
      </c>
      <c r="R250" s="386" t="s">
        <v>1904</v>
      </c>
      <c r="S250" s="386" t="s">
        <v>1905</v>
      </c>
      <c r="T250" s="387" t="s">
        <v>1199</v>
      </c>
      <c r="U250" s="385" t="s">
        <v>1906</v>
      </c>
      <c r="V250" s="385" t="s">
        <v>1905</v>
      </c>
      <c r="W250" s="386" t="s">
        <v>3196</v>
      </c>
      <c r="X250" s="324" t="s">
        <v>3364</v>
      </c>
      <c r="Y250" s="324" t="s">
        <v>3401</v>
      </c>
      <c r="Z250" s="322" t="s">
        <v>3386</v>
      </c>
      <c r="AA250" s="392">
        <v>2538</v>
      </c>
    </row>
    <row r="251" spans="17:27" ht="13.8">
      <c r="Q251" s="385">
        <f t="shared" si="3"/>
        <v>245</v>
      </c>
      <c r="R251" s="386" t="s">
        <v>1907</v>
      </c>
      <c r="S251" s="386" t="s">
        <v>3379</v>
      </c>
      <c r="T251" s="387" t="s">
        <v>1170</v>
      </c>
      <c r="U251" s="385" t="s">
        <v>3380</v>
      </c>
      <c r="V251" s="385" t="s">
        <v>3378</v>
      </c>
      <c r="W251" s="386" t="s">
        <v>3378</v>
      </c>
      <c r="X251" s="324" t="s">
        <v>3365</v>
      </c>
      <c r="Y251" s="324" t="s">
        <v>3400</v>
      </c>
      <c r="Z251" s="322" t="s">
        <v>3381</v>
      </c>
      <c r="AA251" s="392">
        <v>1759</v>
      </c>
    </row>
    <row r="252" spans="17:27" ht="13.8">
      <c r="Q252" s="385">
        <f t="shared" si="3"/>
        <v>246</v>
      </c>
      <c r="R252" s="386" t="s">
        <v>1908</v>
      </c>
      <c r="S252" s="386" t="s">
        <v>1909</v>
      </c>
      <c r="T252" s="387" t="s">
        <v>1229</v>
      </c>
      <c r="U252" s="385" t="s">
        <v>1910</v>
      </c>
      <c r="V252" s="385" t="s">
        <v>2966</v>
      </c>
      <c r="W252" s="386" t="s">
        <v>2966</v>
      </c>
      <c r="X252" s="324" t="s">
        <v>3365</v>
      </c>
      <c r="Y252" s="324" t="s">
        <v>3400</v>
      </c>
      <c r="Z252" s="322" t="s">
        <v>3381</v>
      </c>
      <c r="AA252" s="392">
        <v>2654</v>
      </c>
    </row>
    <row r="253" spans="17:27" ht="13.8">
      <c r="Q253" s="385">
        <f t="shared" si="3"/>
        <v>247</v>
      </c>
      <c r="R253" s="386" t="s">
        <v>1911</v>
      </c>
      <c r="S253" s="386" t="s">
        <v>1912</v>
      </c>
      <c r="T253" s="387" t="s">
        <v>1229</v>
      </c>
      <c r="U253" s="385" t="s">
        <v>1913</v>
      </c>
      <c r="V253" s="385" t="s">
        <v>1912</v>
      </c>
      <c r="W253" s="386" t="s">
        <v>3197</v>
      </c>
      <c r="X253" s="324" t="s">
        <v>3364</v>
      </c>
      <c r="Y253" s="324" t="s">
        <v>3401</v>
      </c>
      <c r="Z253" s="322" t="s">
        <v>3386</v>
      </c>
      <c r="AA253" s="392">
        <v>92843</v>
      </c>
    </row>
    <row r="254" spans="17:27" ht="13.8">
      <c r="Q254" s="385">
        <f t="shared" si="3"/>
        <v>248</v>
      </c>
      <c r="R254" s="386" t="s">
        <v>1914</v>
      </c>
      <c r="S254" s="386" t="s">
        <v>1915</v>
      </c>
      <c r="T254" s="387" t="s">
        <v>1295</v>
      </c>
      <c r="U254" s="385" t="s">
        <v>1916</v>
      </c>
      <c r="V254" s="385" t="s">
        <v>3323</v>
      </c>
      <c r="W254" s="386" t="s">
        <v>3323</v>
      </c>
      <c r="X254" s="324" t="s">
        <v>3366</v>
      </c>
      <c r="Y254" s="324" t="s">
        <v>3400</v>
      </c>
      <c r="Z254" s="322" t="s">
        <v>3384</v>
      </c>
      <c r="AA254" s="392">
        <v>3906</v>
      </c>
    </row>
    <row r="255" spans="17:27" ht="13.8">
      <c r="Q255" s="385">
        <f t="shared" si="3"/>
        <v>249</v>
      </c>
      <c r="R255" s="386" t="s">
        <v>1917</v>
      </c>
      <c r="S255" s="386" t="s">
        <v>1918</v>
      </c>
      <c r="T255" s="387" t="s">
        <v>1215</v>
      </c>
      <c r="U255" s="385" t="s">
        <v>1919</v>
      </c>
      <c r="V255" s="385" t="s">
        <v>2967</v>
      </c>
      <c r="W255" s="386" t="s">
        <v>2967</v>
      </c>
      <c r="X255" s="324" t="s">
        <v>3365</v>
      </c>
      <c r="Y255" s="324" t="s">
        <v>3400</v>
      </c>
      <c r="Z255" s="322" t="s">
        <v>3381</v>
      </c>
      <c r="AA255" s="392">
        <v>1908</v>
      </c>
    </row>
    <row r="256" spans="17:27" ht="13.8">
      <c r="Q256" s="385">
        <f t="shared" si="3"/>
        <v>250</v>
      </c>
      <c r="R256" s="386" t="s">
        <v>1920</v>
      </c>
      <c r="S256" s="386" t="s">
        <v>1921</v>
      </c>
      <c r="T256" s="387" t="s">
        <v>1229</v>
      </c>
      <c r="U256" s="385" t="s">
        <v>1922</v>
      </c>
      <c r="V256" s="385" t="s">
        <v>2968</v>
      </c>
      <c r="W256" s="386" t="s">
        <v>2968</v>
      </c>
      <c r="X256" s="324" t="s">
        <v>3365</v>
      </c>
      <c r="Y256" s="324" t="s">
        <v>3400</v>
      </c>
      <c r="Z256" s="322" t="s">
        <v>3381</v>
      </c>
      <c r="AA256" s="392">
        <v>1875</v>
      </c>
    </row>
    <row r="257" spans="17:27" ht="13.8">
      <c r="Q257" s="385">
        <f t="shared" si="3"/>
        <v>251</v>
      </c>
      <c r="R257" s="386" t="s">
        <v>1923</v>
      </c>
      <c r="S257" s="386" t="s">
        <v>1924</v>
      </c>
      <c r="T257" s="387" t="s">
        <v>1215</v>
      </c>
      <c r="U257" s="385" t="s">
        <v>1925</v>
      </c>
      <c r="V257" s="385" t="s">
        <v>2969</v>
      </c>
      <c r="W257" s="386" t="s">
        <v>2969</v>
      </c>
      <c r="X257" s="324" t="s">
        <v>3365</v>
      </c>
      <c r="Y257" s="324" t="s">
        <v>3400</v>
      </c>
      <c r="Z257" s="322" t="s">
        <v>3381</v>
      </c>
      <c r="AA257" s="392">
        <v>2945</v>
      </c>
    </row>
    <row r="258" spans="17:27" ht="13.8">
      <c r="Q258" s="385">
        <f t="shared" si="3"/>
        <v>252</v>
      </c>
      <c r="R258" s="386" t="s">
        <v>1926</v>
      </c>
      <c r="S258" s="386" t="s">
        <v>1927</v>
      </c>
      <c r="T258" s="387" t="s">
        <v>1346</v>
      </c>
      <c r="U258" s="385" t="s">
        <v>1928</v>
      </c>
      <c r="V258" s="385" t="s">
        <v>1927</v>
      </c>
      <c r="W258" s="386" t="s">
        <v>3198</v>
      </c>
      <c r="X258" s="324" t="s">
        <v>3364</v>
      </c>
      <c r="Y258" s="324" t="s">
        <v>3401</v>
      </c>
      <c r="Z258" s="322" t="s">
        <v>3383</v>
      </c>
      <c r="AA258" s="392">
        <v>3290</v>
      </c>
    </row>
    <row r="259" spans="17:27" ht="13.8">
      <c r="Q259" s="385">
        <f t="shared" si="3"/>
        <v>253</v>
      </c>
      <c r="R259" s="386" t="s">
        <v>1929</v>
      </c>
      <c r="S259" s="386" t="s">
        <v>1927</v>
      </c>
      <c r="T259" s="387" t="s">
        <v>1541</v>
      </c>
      <c r="U259" s="385" t="s">
        <v>1930</v>
      </c>
      <c r="V259" s="385" t="s">
        <v>1927</v>
      </c>
      <c r="W259" s="386" t="s">
        <v>3198</v>
      </c>
      <c r="X259" s="324" t="s">
        <v>3364</v>
      </c>
      <c r="Y259" s="324" t="s">
        <v>3400</v>
      </c>
      <c r="Z259" s="322" t="s">
        <v>3387</v>
      </c>
      <c r="AA259" s="392">
        <v>33472</v>
      </c>
    </row>
    <row r="260" spans="17:27" ht="13.8">
      <c r="Q260" s="385">
        <f t="shared" si="3"/>
        <v>254</v>
      </c>
      <c r="R260" s="386" t="s">
        <v>1931</v>
      </c>
      <c r="S260" s="386" t="s">
        <v>1932</v>
      </c>
      <c r="T260" s="387" t="s">
        <v>1295</v>
      </c>
      <c r="U260" s="385" t="s">
        <v>1933</v>
      </c>
      <c r="V260" s="385" t="s">
        <v>2970</v>
      </c>
      <c r="W260" s="386" t="s">
        <v>2970</v>
      </c>
      <c r="X260" s="324" t="s">
        <v>3365</v>
      </c>
      <c r="Y260" s="324" t="s">
        <v>3400</v>
      </c>
      <c r="Z260" s="322" t="s">
        <v>3381</v>
      </c>
      <c r="AA260" s="392">
        <v>1358</v>
      </c>
    </row>
    <row r="261" spans="17:27" ht="13.8">
      <c r="Q261" s="385">
        <f t="shared" si="3"/>
        <v>255</v>
      </c>
      <c r="R261" s="386" t="s">
        <v>1934</v>
      </c>
      <c r="S261" s="386" t="s">
        <v>1935</v>
      </c>
      <c r="T261" s="387" t="s">
        <v>1295</v>
      </c>
      <c r="U261" s="385" t="s">
        <v>1936</v>
      </c>
      <c r="V261" s="385" t="s">
        <v>1935</v>
      </c>
      <c r="W261" s="386" t="s">
        <v>2970</v>
      </c>
      <c r="X261" s="324" t="s">
        <v>3364</v>
      </c>
      <c r="Y261" s="324" t="s">
        <v>3401</v>
      </c>
      <c r="Z261" s="322" t="s">
        <v>3386</v>
      </c>
      <c r="AA261" s="392">
        <v>6588</v>
      </c>
    </row>
    <row r="262" spans="17:27" ht="13.8">
      <c r="Q262" s="385">
        <f t="shared" si="3"/>
        <v>256</v>
      </c>
      <c r="R262" s="386" t="s">
        <v>1937</v>
      </c>
      <c r="S262" s="386" t="s">
        <v>1938</v>
      </c>
      <c r="T262" s="387" t="s">
        <v>1178</v>
      </c>
      <c r="U262" s="385" t="s">
        <v>1939</v>
      </c>
      <c r="V262" s="385" t="s">
        <v>2971</v>
      </c>
      <c r="W262" s="386" t="s">
        <v>2971</v>
      </c>
      <c r="X262" s="324" t="s">
        <v>3365</v>
      </c>
      <c r="Y262" s="324" t="s">
        <v>3400</v>
      </c>
      <c r="Z262" s="322" t="s">
        <v>3381</v>
      </c>
      <c r="AA262" s="392">
        <v>8937</v>
      </c>
    </row>
    <row r="263" spans="17:27" ht="13.8">
      <c r="Q263" s="385">
        <f t="shared" si="3"/>
        <v>257</v>
      </c>
      <c r="R263" s="386" t="s">
        <v>1940</v>
      </c>
      <c r="S263" s="386" t="s">
        <v>1941</v>
      </c>
      <c r="T263" s="387" t="s">
        <v>1192</v>
      </c>
      <c r="U263" s="385" t="s">
        <v>1942</v>
      </c>
      <c r="V263" s="385" t="s">
        <v>1941</v>
      </c>
      <c r="W263" s="386" t="s">
        <v>3199</v>
      </c>
      <c r="X263" s="324" t="s">
        <v>3364</v>
      </c>
      <c r="Y263" s="324" t="s">
        <v>3401</v>
      </c>
      <c r="Z263" s="322" t="s">
        <v>3386</v>
      </c>
      <c r="AA263" s="392">
        <v>2942</v>
      </c>
    </row>
    <row r="264" spans="17:27" ht="13.8">
      <c r="Q264" s="385">
        <f t="shared" si="3"/>
        <v>258</v>
      </c>
      <c r="R264" s="386" t="s">
        <v>1943</v>
      </c>
      <c r="S264" s="386" t="s">
        <v>1944</v>
      </c>
      <c r="T264" s="387" t="s">
        <v>1318</v>
      </c>
      <c r="U264" s="385" t="s">
        <v>1945</v>
      </c>
      <c r="V264" s="385" t="s">
        <v>2972</v>
      </c>
      <c r="W264" s="386" t="s">
        <v>2972</v>
      </c>
      <c r="X264" s="324" t="s">
        <v>3365</v>
      </c>
      <c r="Y264" s="324" t="s">
        <v>3400</v>
      </c>
      <c r="Z264" s="322" t="s">
        <v>3382</v>
      </c>
      <c r="AA264" s="392">
        <v>10521</v>
      </c>
    </row>
    <row r="265" spans="17:27" ht="13.8">
      <c r="Q265" s="385">
        <f t="shared" ref="Q265:Q328" si="4">Q264+1</f>
        <v>259</v>
      </c>
      <c r="R265" s="386" t="s">
        <v>1946</v>
      </c>
      <c r="S265" s="386" t="s">
        <v>1947</v>
      </c>
      <c r="T265" s="387" t="s">
        <v>1276</v>
      </c>
      <c r="U265" s="385" t="s">
        <v>1948</v>
      </c>
      <c r="V265" s="385" t="s">
        <v>3324</v>
      </c>
      <c r="W265" s="386" t="s">
        <v>3324</v>
      </c>
      <c r="X265" s="324" t="s">
        <v>3366</v>
      </c>
      <c r="Y265" s="324" t="s">
        <v>3400</v>
      </c>
      <c r="Z265" s="322" t="s">
        <v>3395</v>
      </c>
      <c r="AA265" s="392">
        <v>40499</v>
      </c>
    </row>
    <row r="266" spans="17:27" ht="13.8">
      <c r="Q266" s="385">
        <f t="shared" si="4"/>
        <v>260</v>
      </c>
      <c r="R266" s="386" t="s">
        <v>1949</v>
      </c>
      <c r="S266" s="386" t="s">
        <v>1950</v>
      </c>
      <c r="T266" s="387" t="s">
        <v>1215</v>
      </c>
      <c r="U266" s="385" t="s">
        <v>1951</v>
      </c>
      <c r="V266" s="385" t="s">
        <v>2973</v>
      </c>
      <c r="W266" s="386" t="s">
        <v>2973</v>
      </c>
      <c r="X266" s="324" t="s">
        <v>3365</v>
      </c>
      <c r="Y266" s="324" t="s">
        <v>3400</v>
      </c>
      <c r="Z266" s="322" t="s">
        <v>3381</v>
      </c>
      <c r="AA266" s="392">
        <v>17613</v>
      </c>
    </row>
    <row r="267" spans="17:27" ht="13.8">
      <c r="Q267" s="385">
        <f t="shared" si="4"/>
        <v>261</v>
      </c>
      <c r="R267" s="386" t="s">
        <v>1952</v>
      </c>
      <c r="S267" s="386" t="s">
        <v>1953</v>
      </c>
      <c r="T267" s="387" t="s">
        <v>1174</v>
      </c>
      <c r="U267" s="385" t="s">
        <v>1954</v>
      </c>
      <c r="V267" s="385" t="s">
        <v>3325</v>
      </c>
      <c r="W267" s="386" t="s">
        <v>3325</v>
      </c>
      <c r="X267" s="324" t="s">
        <v>3366</v>
      </c>
      <c r="Y267" s="324" t="s">
        <v>3400</v>
      </c>
      <c r="Z267" s="322" t="s">
        <v>3382</v>
      </c>
      <c r="AA267" s="392">
        <v>7092</v>
      </c>
    </row>
    <row r="268" spans="17:27" ht="13.8">
      <c r="Q268" s="385">
        <f t="shared" si="4"/>
        <v>262</v>
      </c>
      <c r="R268" s="386" t="s">
        <v>1955</v>
      </c>
      <c r="S268" s="386" t="s">
        <v>1956</v>
      </c>
      <c r="T268" s="387" t="s">
        <v>1229</v>
      </c>
      <c r="U268" s="385" t="s">
        <v>1957</v>
      </c>
      <c r="V268" s="385" t="s">
        <v>1956</v>
      </c>
      <c r="W268" s="386" t="s">
        <v>3200</v>
      </c>
      <c r="X268" s="324" t="s">
        <v>3364</v>
      </c>
      <c r="Y268" s="324" t="s">
        <v>3401</v>
      </c>
      <c r="Z268" s="322" t="s">
        <v>3386</v>
      </c>
      <c r="AA268" s="392">
        <v>20065</v>
      </c>
    </row>
    <row r="269" spans="17:27" ht="13.8">
      <c r="Q269" s="385">
        <f t="shared" si="4"/>
        <v>263</v>
      </c>
      <c r="R269" s="386" t="s">
        <v>1958</v>
      </c>
      <c r="S269" s="386" t="s">
        <v>1959</v>
      </c>
      <c r="T269" s="387" t="s">
        <v>1308</v>
      </c>
      <c r="U269" s="385" t="s">
        <v>1960</v>
      </c>
      <c r="V269" s="385" t="s">
        <v>1959</v>
      </c>
      <c r="W269" s="386" t="s">
        <v>3201</v>
      </c>
      <c r="X269" s="324" t="s">
        <v>3364</v>
      </c>
      <c r="Y269" s="324" t="s">
        <v>3401</v>
      </c>
      <c r="Z269" s="322" t="s">
        <v>3386</v>
      </c>
      <c r="AA269" s="392">
        <v>14432</v>
      </c>
    </row>
    <row r="270" spans="17:27" ht="13.8">
      <c r="Q270" s="385">
        <f t="shared" si="4"/>
        <v>264</v>
      </c>
      <c r="R270" s="386" t="s">
        <v>1961</v>
      </c>
      <c r="S270" s="386" t="s">
        <v>1962</v>
      </c>
      <c r="T270" s="387" t="s">
        <v>1178</v>
      </c>
      <c r="U270" s="385" t="s">
        <v>1963</v>
      </c>
      <c r="V270" s="385" t="s">
        <v>2974</v>
      </c>
      <c r="W270" s="386" t="s">
        <v>2974</v>
      </c>
      <c r="X270" s="324" t="s">
        <v>3365</v>
      </c>
      <c r="Y270" s="324" t="s">
        <v>3400</v>
      </c>
      <c r="Z270" s="322" t="s">
        <v>3381</v>
      </c>
      <c r="AA270" s="392">
        <v>10626</v>
      </c>
    </row>
    <row r="271" spans="17:27" ht="13.8">
      <c r="Q271" s="385">
        <f t="shared" si="4"/>
        <v>265</v>
      </c>
      <c r="R271" s="386" t="s">
        <v>1964</v>
      </c>
      <c r="S271" s="386" t="s">
        <v>1965</v>
      </c>
      <c r="T271" s="387" t="s">
        <v>1170</v>
      </c>
      <c r="U271" s="385" t="s">
        <v>1966</v>
      </c>
      <c r="V271" s="385" t="s">
        <v>2975</v>
      </c>
      <c r="W271" s="386" t="s">
        <v>2975</v>
      </c>
      <c r="X271" s="324" t="s">
        <v>3365</v>
      </c>
      <c r="Y271" s="324" t="s">
        <v>3400</v>
      </c>
      <c r="Z271" s="322" t="s">
        <v>3381</v>
      </c>
      <c r="AA271" s="392">
        <v>5950</v>
      </c>
    </row>
    <row r="272" spans="17:27" ht="13.8">
      <c r="Q272" s="385">
        <f t="shared" si="4"/>
        <v>266</v>
      </c>
      <c r="R272" s="386" t="s">
        <v>1967</v>
      </c>
      <c r="S272" s="386" t="s">
        <v>1968</v>
      </c>
      <c r="T272" s="387" t="s">
        <v>1260</v>
      </c>
      <c r="U272" s="385" t="s">
        <v>1969</v>
      </c>
      <c r="V272" s="385" t="s">
        <v>1968</v>
      </c>
      <c r="W272" s="386" t="s">
        <v>3202</v>
      </c>
      <c r="X272" s="324" t="s">
        <v>3364</v>
      </c>
      <c r="Y272" s="324" t="s">
        <v>3400</v>
      </c>
      <c r="Z272" s="322" t="s">
        <v>3387</v>
      </c>
      <c r="AA272" s="392">
        <v>29366</v>
      </c>
    </row>
    <row r="273" spans="17:27" ht="13.8">
      <c r="Q273" s="385">
        <f t="shared" si="4"/>
        <v>267</v>
      </c>
      <c r="R273" s="386" t="s">
        <v>1970</v>
      </c>
      <c r="S273" s="386" t="s">
        <v>1971</v>
      </c>
      <c r="T273" s="387" t="s">
        <v>1170</v>
      </c>
      <c r="U273" s="385" t="s">
        <v>1972</v>
      </c>
      <c r="V273" s="385" t="s">
        <v>1971</v>
      </c>
      <c r="W273" s="386" t="s">
        <v>3368</v>
      </c>
      <c r="X273" s="324" t="s">
        <v>3367</v>
      </c>
      <c r="Y273" s="324" t="s">
        <v>3402</v>
      </c>
      <c r="Z273" s="322" t="s">
        <v>3385</v>
      </c>
      <c r="AA273" s="392">
        <v>194</v>
      </c>
    </row>
    <row r="274" spans="17:27" ht="13.8">
      <c r="Q274" s="385">
        <f t="shared" si="4"/>
        <v>268</v>
      </c>
      <c r="R274" s="386" t="s">
        <v>1973</v>
      </c>
      <c r="S274" s="386" t="s">
        <v>1974</v>
      </c>
      <c r="T274" s="387" t="s">
        <v>1178</v>
      </c>
      <c r="U274" s="385" t="s">
        <v>1975</v>
      </c>
      <c r="V274" s="385" t="s">
        <v>2976</v>
      </c>
      <c r="W274" s="386" t="s">
        <v>2976</v>
      </c>
      <c r="X274" s="324" t="s">
        <v>3365</v>
      </c>
      <c r="Y274" s="324" t="s">
        <v>3400</v>
      </c>
      <c r="Z274" s="322" t="s">
        <v>3387</v>
      </c>
      <c r="AA274" s="392">
        <v>24136</v>
      </c>
    </row>
    <row r="275" spans="17:27" ht="13.8">
      <c r="Q275" s="385">
        <f t="shared" si="4"/>
        <v>269</v>
      </c>
      <c r="R275" s="386" t="s">
        <v>1976</v>
      </c>
      <c r="S275" s="386" t="s">
        <v>1977</v>
      </c>
      <c r="T275" s="387" t="s">
        <v>1435</v>
      </c>
      <c r="U275" s="385" t="s">
        <v>1978</v>
      </c>
      <c r="V275" s="385" t="s">
        <v>1977</v>
      </c>
      <c r="W275" s="386" t="s">
        <v>3203</v>
      </c>
      <c r="X275" s="324" t="s">
        <v>3364</v>
      </c>
      <c r="Y275" s="324" t="s">
        <v>3400</v>
      </c>
      <c r="Z275" s="322" t="s">
        <v>3384</v>
      </c>
      <c r="AA275" s="392">
        <v>6042</v>
      </c>
    </row>
    <row r="276" spans="17:27" ht="13.8">
      <c r="Q276" s="385">
        <f t="shared" si="4"/>
        <v>270</v>
      </c>
      <c r="R276" s="386" t="s">
        <v>1979</v>
      </c>
      <c r="S276" s="386" t="s">
        <v>1980</v>
      </c>
      <c r="T276" s="387" t="s">
        <v>1229</v>
      </c>
      <c r="U276" s="385" t="s">
        <v>1981</v>
      </c>
      <c r="V276" s="385" t="s">
        <v>1980</v>
      </c>
      <c r="W276" s="386" t="s">
        <v>3204</v>
      </c>
      <c r="X276" s="324" t="s">
        <v>3364</v>
      </c>
      <c r="Y276" s="324" t="s">
        <v>3402</v>
      </c>
      <c r="Z276" s="322" t="s">
        <v>3385</v>
      </c>
      <c r="AA276" s="392">
        <v>3051</v>
      </c>
    </row>
    <row r="277" spans="17:27" ht="13.8">
      <c r="Q277" s="385">
        <f t="shared" si="4"/>
        <v>271</v>
      </c>
      <c r="R277" s="386" t="s">
        <v>1982</v>
      </c>
      <c r="S277" s="386" t="s">
        <v>1983</v>
      </c>
      <c r="T277" s="387" t="s">
        <v>1170</v>
      </c>
      <c r="U277" s="385" t="s">
        <v>1984</v>
      </c>
      <c r="V277" s="385" t="s">
        <v>3326</v>
      </c>
      <c r="W277" s="386" t="s">
        <v>3326</v>
      </c>
      <c r="X277" s="324" t="s">
        <v>3366</v>
      </c>
      <c r="Y277" s="324" t="s">
        <v>3400</v>
      </c>
      <c r="Z277" s="322" t="s">
        <v>3389</v>
      </c>
      <c r="AA277" s="392">
        <v>30719</v>
      </c>
    </row>
    <row r="278" spans="17:27" ht="13.8">
      <c r="Q278" s="385">
        <f t="shared" si="4"/>
        <v>272</v>
      </c>
      <c r="R278" s="386" t="s">
        <v>1985</v>
      </c>
      <c r="S278" s="386" t="s">
        <v>1986</v>
      </c>
      <c r="T278" s="387" t="s">
        <v>1318</v>
      </c>
      <c r="U278" s="385" t="s">
        <v>1987</v>
      </c>
      <c r="V278" s="385" t="s">
        <v>1986</v>
      </c>
      <c r="W278" s="386" t="s">
        <v>3205</v>
      </c>
      <c r="X278" s="324" t="s">
        <v>3364</v>
      </c>
      <c r="Y278" s="324" t="s">
        <v>3401</v>
      </c>
      <c r="Z278" s="322" t="s">
        <v>3386</v>
      </c>
      <c r="AA278" s="392">
        <v>8702</v>
      </c>
    </row>
    <row r="279" spans="17:27" ht="13.8">
      <c r="Q279" s="385">
        <f t="shared" si="4"/>
        <v>273</v>
      </c>
      <c r="R279" s="386" t="s">
        <v>1988</v>
      </c>
      <c r="S279" s="388" t="s">
        <v>1989</v>
      </c>
      <c r="T279" s="387" t="s">
        <v>1174</v>
      </c>
      <c r="U279" s="385" t="s">
        <v>1990</v>
      </c>
      <c r="V279" s="385" t="s">
        <v>2977</v>
      </c>
      <c r="W279" s="388" t="s">
        <v>2977</v>
      </c>
      <c r="X279" s="324" t="s">
        <v>3365</v>
      </c>
      <c r="Y279" s="324" t="s">
        <v>3402</v>
      </c>
      <c r="Z279" s="322" t="s">
        <v>3385</v>
      </c>
      <c r="AA279" s="392">
        <v>895</v>
      </c>
    </row>
    <row r="280" spans="17:27" ht="13.8">
      <c r="Q280" s="385">
        <f t="shared" si="4"/>
        <v>274</v>
      </c>
      <c r="R280" s="386" t="s">
        <v>1991</v>
      </c>
      <c r="S280" s="386" t="s">
        <v>1992</v>
      </c>
      <c r="T280" s="387" t="s">
        <v>1192</v>
      </c>
      <c r="U280" s="385" t="s">
        <v>1993</v>
      </c>
      <c r="V280" s="385" t="s">
        <v>1992</v>
      </c>
      <c r="W280" s="386" t="s">
        <v>3206</v>
      </c>
      <c r="X280" s="324" t="s">
        <v>3364</v>
      </c>
      <c r="Y280" s="324" t="s">
        <v>3400</v>
      </c>
      <c r="Z280" s="322" t="s">
        <v>3384</v>
      </c>
      <c r="AA280" s="392">
        <v>8014</v>
      </c>
    </row>
    <row r="281" spans="17:27" ht="13.8">
      <c r="Q281" s="385">
        <f t="shared" si="4"/>
        <v>275</v>
      </c>
      <c r="R281" s="386" t="s">
        <v>1994</v>
      </c>
      <c r="S281" s="386" t="s">
        <v>1995</v>
      </c>
      <c r="T281" s="387" t="s">
        <v>1188</v>
      </c>
      <c r="U281" s="385" t="s">
        <v>1996</v>
      </c>
      <c r="V281" s="385" t="s">
        <v>1995</v>
      </c>
      <c r="W281" s="386" t="s">
        <v>3207</v>
      </c>
      <c r="X281" s="324" t="s">
        <v>3364</v>
      </c>
      <c r="Y281" s="324" t="s">
        <v>3401</v>
      </c>
      <c r="Z281" s="322" t="s">
        <v>3386</v>
      </c>
      <c r="AA281" s="392">
        <v>1770</v>
      </c>
    </row>
    <row r="282" spans="17:27" ht="13.8">
      <c r="Q282" s="385">
        <f t="shared" si="4"/>
        <v>276</v>
      </c>
      <c r="R282" s="386" t="s">
        <v>1997</v>
      </c>
      <c r="S282" s="386" t="s">
        <v>1998</v>
      </c>
      <c r="T282" s="387" t="s">
        <v>1222</v>
      </c>
      <c r="U282" s="385" t="s">
        <v>1999</v>
      </c>
      <c r="V282" s="385" t="s">
        <v>1998</v>
      </c>
      <c r="W282" s="386" t="s">
        <v>3208</v>
      </c>
      <c r="X282" s="324" t="s">
        <v>3364</v>
      </c>
      <c r="Y282" s="324" t="s">
        <v>3400</v>
      </c>
      <c r="Z282" s="322" t="s">
        <v>3384</v>
      </c>
      <c r="AA282" s="392">
        <v>22866</v>
      </c>
    </row>
    <row r="283" spans="17:27" ht="13.8">
      <c r="Q283" s="385">
        <f t="shared" si="4"/>
        <v>277</v>
      </c>
      <c r="R283" s="386" t="s">
        <v>2000</v>
      </c>
      <c r="S283" s="386" t="s">
        <v>2001</v>
      </c>
      <c r="T283" s="387" t="s">
        <v>1239</v>
      </c>
      <c r="U283" s="385" t="s">
        <v>2002</v>
      </c>
      <c r="V283" s="385" t="s">
        <v>2001</v>
      </c>
      <c r="W283" s="386" t="s">
        <v>3209</v>
      </c>
      <c r="X283" s="324" t="s">
        <v>3364</v>
      </c>
      <c r="Y283" s="324" t="s">
        <v>3401</v>
      </c>
      <c r="Z283" s="322" t="s">
        <v>3386</v>
      </c>
      <c r="AA283" s="392">
        <v>12559</v>
      </c>
    </row>
    <row r="284" spans="17:27" ht="13.8">
      <c r="Q284" s="385">
        <f t="shared" si="4"/>
        <v>278</v>
      </c>
      <c r="R284" s="386" t="s">
        <v>2003</v>
      </c>
      <c r="S284" s="386" t="s">
        <v>2004</v>
      </c>
      <c r="T284" s="387" t="s">
        <v>1178</v>
      </c>
      <c r="U284" s="385" t="s">
        <v>2005</v>
      </c>
      <c r="V284" s="385" t="s">
        <v>2004</v>
      </c>
      <c r="W284" s="386" t="s">
        <v>3210</v>
      </c>
      <c r="X284" s="324" t="s">
        <v>3364</v>
      </c>
      <c r="Y284" s="324" t="s">
        <v>3402</v>
      </c>
      <c r="Z284" s="322" t="s">
        <v>3396</v>
      </c>
      <c r="AA284" s="392">
        <v>20554</v>
      </c>
    </row>
    <row r="285" spans="17:27" ht="13.8">
      <c r="Q285" s="385">
        <f t="shared" si="4"/>
        <v>279</v>
      </c>
      <c r="R285" s="386" t="s">
        <v>2006</v>
      </c>
      <c r="S285" s="386" t="s">
        <v>2007</v>
      </c>
      <c r="T285" s="387" t="s">
        <v>1318</v>
      </c>
      <c r="U285" s="385" t="s">
        <v>2008</v>
      </c>
      <c r="V285" s="385" t="s">
        <v>2978</v>
      </c>
      <c r="W285" s="386" t="s">
        <v>2978</v>
      </c>
      <c r="X285" s="324" t="s">
        <v>3365</v>
      </c>
      <c r="Y285" s="324" t="s">
        <v>3400</v>
      </c>
      <c r="Z285" s="322" t="s">
        <v>3381</v>
      </c>
      <c r="AA285" s="392">
        <v>15845</v>
      </c>
    </row>
    <row r="286" spans="17:27" ht="13.8">
      <c r="Q286" s="385">
        <f t="shared" si="4"/>
        <v>280</v>
      </c>
      <c r="R286" s="386" t="s">
        <v>2009</v>
      </c>
      <c r="S286" s="386" t="s">
        <v>2010</v>
      </c>
      <c r="T286" s="387" t="s">
        <v>1215</v>
      </c>
      <c r="U286" s="385" t="s">
        <v>2011</v>
      </c>
      <c r="V286" s="385" t="s">
        <v>2979</v>
      </c>
      <c r="W286" s="386" t="s">
        <v>2979</v>
      </c>
      <c r="X286" s="324" t="s">
        <v>3365</v>
      </c>
      <c r="Y286" s="324" t="s">
        <v>3400</v>
      </c>
      <c r="Z286" s="322" t="s">
        <v>3381</v>
      </c>
      <c r="AA286" s="392">
        <v>4341</v>
      </c>
    </row>
    <row r="287" spans="17:27" ht="13.8">
      <c r="Q287" s="385">
        <f t="shared" si="4"/>
        <v>281</v>
      </c>
      <c r="R287" s="386" t="s">
        <v>2012</v>
      </c>
      <c r="S287" s="386" t="s">
        <v>2013</v>
      </c>
      <c r="T287" s="387" t="s">
        <v>1178</v>
      </c>
      <c r="U287" s="385" t="s">
        <v>2014</v>
      </c>
      <c r="V287" s="385" t="s">
        <v>2013</v>
      </c>
      <c r="W287" s="386" t="s">
        <v>3211</v>
      </c>
      <c r="X287" s="324" t="s">
        <v>3364</v>
      </c>
      <c r="Y287" s="324" t="s">
        <v>3400</v>
      </c>
      <c r="Z287" s="322" t="s">
        <v>3382</v>
      </c>
      <c r="AA287" s="392">
        <v>25890</v>
      </c>
    </row>
    <row r="288" spans="17:27" ht="13.8">
      <c r="Q288" s="385">
        <f t="shared" si="4"/>
        <v>282</v>
      </c>
      <c r="R288" s="386" t="s">
        <v>2015</v>
      </c>
      <c r="S288" s="386" t="s">
        <v>2016</v>
      </c>
      <c r="T288" s="387" t="s">
        <v>1170</v>
      </c>
      <c r="U288" s="385" t="s">
        <v>2017</v>
      </c>
      <c r="V288" s="385" t="s">
        <v>2016</v>
      </c>
      <c r="W288" s="386" t="s">
        <v>3212</v>
      </c>
      <c r="X288" s="324" t="s">
        <v>3364</v>
      </c>
      <c r="Y288" s="324" t="s">
        <v>3401</v>
      </c>
      <c r="Z288" s="322" t="s">
        <v>3386</v>
      </c>
      <c r="AA288" s="392">
        <v>38872</v>
      </c>
    </row>
    <row r="289" spans="17:27" ht="13.8">
      <c r="Q289" s="385">
        <f t="shared" si="4"/>
        <v>283</v>
      </c>
      <c r="R289" s="386" t="s">
        <v>2018</v>
      </c>
      <c r="S289" s="386" t="s">
        <v>2019</v>
      </c>
      <c r="T289" s="387" t="s">
        <v>1170</v>
      </c>
      <c r="U289" s="385" t="s">
        <v>2020</v>
      </c>
      <c r="V289" s="385" t="s">
        <v>2980</v>
      </c>
      <c r="W289" s="386" t="s">
        <v>2980</v>
      </c>
      <c r="X289" s="324" t="s">
        <v>3365</v>
      </c>
      <c r="Y289" s="324" t="s">
        <v>3400</v>
      </c>
      <c r="Z289" s="322" t="s">
        <v>3381</v>
      </c>
      <c r="AA289" s="392">
        <v>5897</v>
      </c>
    </row>
    <row r="290" spans="17:27" ht="13.8">
      <c r="Q290" s="385">
        <f t="shared" si="4"/>
        <v>284</v>
      </c>
      <c r="R290" s="386" t="s">
        <v>2021</v>
      </c>
      <c r="S290" s="386" t="s">
        <v>2022</v>
      </c>
      <c r="T290" s="387" t="s">
        <v>1229</v>
      </c>
      <c r="U290" s="385" t="s">
        <v>2023</v>
      </c>
      <c r="V290" s="385" t="s">
        <v>2022</v>
      </c>
      <c r="W290" s="386" t="s">
        <v>3213</v>
      </c>
      <c r="X290" s="324" t="s">
        <v>3364</v>
      </c>
      <c r="Y290" s="324" t="s">
        <v>3400</v>
      </c>
      <c r="Z290" s="322" t="s">
        <v>3389</v>
      </c>
      <c r="AA290" s="392">
        <v>43070</v>
      </c>
    </row>
    <row r="291" spans="17:27" ht="13.8">
      <c r="Q291" s="385">
        <f t="shared" si="4"/>
        <v>285</v>
      </c>
      <c r="R291" s="386" t="s">
        <v>2024</v>
      </c>
      <c r="S291" s="386" t="s">
        <v>2025</v>
      </c>
      <c r="T291" s="387" t="s">
        <v>1188</v>
      </c>
      <c r="U291" s="385" t="s">
        <v>2026</v>
      </c>
      <c r="V291" s="385" t="s">
        <v>2025</v>
      </c>
      <c r="W291" s="386" t="s">
        <v>3214</v>
      </c>
      <c r="X291" s="324" t="s">
        <v>3364</v>
      </c>
      <c r="Y291" s="324" t="s">
        <v>3401</v>
      </c>
      <c r="Z291" s="322" t="s">
        <v>3383</v>
      </c>
      <c r="AA291" s="392">
        <v>1806</v>
      </c>
    </row>
    <row r="292" spans="17:27" ht="13.8">
      <c r="Q292" s="385">
        <f t="shared" si="4"/>
        <v>286</v>
      </c>
      <c r="R292" s="386" t="s">
        <v>2027</v>
      </c>
      <c r="S292" s="386" t="s">
        <v>2028</v>
      </c>
      <c r="T292" s="387" t="s">
        <v>1239</v>
      </c>
      <c r="U292" s="385" t="s">
        <v>2029</v>
      </c>
      <c r="V292" s="385" t="s">
        <v>2028</v>
      </c>
      <c r="W292" s="386" t="s">
        <v>3215</v>
      </c>
      <c r="X292" s="324" t="s">
        <v>3364</v>
      </c>
      <c r="Y292" s="324" t="s">
        <v>3401</v>
      </c>
      <c r="Z292" s="322" t="s">
        <v>3386</v>
      </c>
      <c r="AA292" s="392">
        <v>8544</v>
      </c>
    </row>
    <row r="293" spans="17:27" ht="13.8">
      <c r="Q293" s="385">
        <f t="shared" si="4"/>
        <v>287</v>
      </c>
      <c r="R293" s="386" t="s">
        <v>2030</v>
      </c>
      <c r="S293" s="386" t="s">
        <v>2028</v>
      </c>
      <c r="T293" s="387" t="s">
        <v>1192</v>
      </c>
      <c r="U293" s="385" t="s">
        <v>2031</v>
      </c>
      <c r="V293" s="385" t="s">
        <v>2028</v>
      </c>
      <c r="W293" s="386" t="s">
        <v>3215</v>
      </c>
      <c r="X293" s="324" t="s">
        <v>3364</v>
      </c>
      <c r="Y293" s="324" t="s">
        <v>3401</v>
      </c>
      <c r="Z293" s="322" t="s">
        <v>3386</v>
      </c>
      <c r="AA293" s="392">
        <v>7725</v>
      </c>
    </row>
    <row r="294" spans="17:27" ht="13.8">
      <c r="Q294" s="385">
        <f t="shared" si="4"/>
        <v>288</v>
      </c>
      <c r="R294" s="386" t="s">
        <v>2032</v>
      </c>
      <c r="S294" s="386" t="s">
        <v>2033</v>
      </c>
      <c r="T294" s="387" t="s">
        <v>1229</v>
      </c>
      <c r="U294" s="385" t="s">
        <v>2034</v>
      </c>
      <c r="V294" s="385" t="s">
        <v>2981</v>
      </c>
      <c r="W294" s="386" t="s">
        <v>2981</v>
      </c>
      <c r="X294" s="324" t="s">
        <v>3365</v>
      </c>
      <c r="Y294" s="324" t="s">
        <v>3400</v>
      </c>
      <c r="Z294" s="322" t="s">
        <v>3381</v>
      </c>
      <c r="AA294" s="392">
        <v>296</v>
      </c>
    </row>
    <row r="295" spans="17:27" ht="13.8">
      <c r="Q295" s="385">
        <f t="shared" si="4"/>
        <v>289</v>
      </c>
      <c r="R295" s="386" t="s">
        <v>2035</v>
      </c>
      <c r="S295" s="386" t="s">
        <v>2036</v>
      </c>
      <c r="T295" s="387" t="s">
        <v>1435</v>
      </c>
      <c r="U295" s="385" t="s">
        <v>2037</v>
      </c>
      <c r="V295" s="385" t="s">
        <v>2036</v>
      </c>
      <c r="W295" s="386" t="s">
        <v>3216</v>
      </c>
      <c r="X295" s="324" t="s">
        <v>3364</v>
      </c>
      <c r="Y295" s="324" t="s">
        <v>3401</v>
      </c>
      <c r="Z295" s="322" t="s">
        <v>3386</v>
      </c>
      <c r="AA295" s="392">
        <v>15217</v>
      </c>
    </row>
    <row r="296" spans="17:27" ht="13.8">
      <c r="Q296" s="385">
        <f t="shared" si="4"/>
        <v>290</v>
      </c>
      <c r="R296" s="386" t="s">
        <v>2038</v>
      </c>
      <c r="S296" s="386" t="s">
        <v>2039</v>
      </c>
      <c r="T296" s="387" t="s">
        <v>1256</v>
      </c>
      <c r="U296" s="385" t="s">
        <v>2040</v>
      </c>
      <c r="V296" s="385" t="s">
        <v>2982</v>
      </c>
      <c r="W296" s="386" t="s">
        <v>2982</v>
      </c>
      <c r="X296" s="324" t="s">
        <v>3365</v>
      </c>
      <c r="Y296" s="324" t="s">
        <v>3400</v>
      </c>
      <c r="Z296" s="322" t="s">
        <v>3381</v>
      </c>
      <c r="AA296" s="392">
        <v>10344</v>
      </c>
    </row>
    <row r="297" spans="17:27" ht="13.8">
      <c r="Q297" s="385">
        <f t="shared" si="4"/>
        <v>291</v>
      </c>
      <c r="R297" s="386" t="s">
        <v>2041</v>
      </c>
      <c r="S297" s="386" t="s">
        <v>2042</v>
      </c>
      <c r="T297" s="387" t="s">
        <v>1239</v>
      </c>
      <c r="U297" s="385" t="s">
        <v>2043</v>
      </c>
      <c r="V297" s="385" t="s">
        <v>2042</v>
      </c>
      <c r="W297" s="386" t="s">
        <v>3217</v>
      </c>
      <c r="X297" s="324" t="s">
        <v>3364</v>
      </c>
      <c r="Y297" s="324" t="s">
        <v>3400</v>
      </c>
      <c r="Z297" s="322" t="s">
        <v>3387</v>
      </c>
      <c r="AA297" s="392">
        <v>19131</v>
      </c>
    </row>
    <row r="298" spans="17:27" ht="13.8">
      <c r="Q298" s="385">
        <f t="shared" si="4"/>
        <v>292</v>
      </c>
      <c r="R298" s="386" t="s">
        <v>2044</v>
      </c>
      <c r="S298" s="386" t="s">
        <v>2045</v>
      </c>
      <c r="T298" s="387" t="s">
        <v>1260</v>
      </c>
      <c r="U298" s="385" t="s">
        <v>2046</v>
      </c>
      <c r="V298" s="385" t="s">
        <v>2045</v>
      </c>
      <c r="W298" s="386" t="s">
        <v>3218</v>
      </c>
      <c r="X298" s="324" t="s">
        <v>3364</v>
      </c>
      <c r="Y298" s="324" t="s">
        <v>3401</v>
      </c>
      <c r="Z298" s="322" t="s">
        <v>3386</v>
      </c>
      <c r="AA298" s="392">
        <v>23867</v>
      </c>
    </row>
    <row r="299" spans="17:27" ht="13.8">
      <c r="Q299" s="385">
        <f t="shared" si="4"/>
        <v>293</v>
      </c>
      <c r="R299" s="386" t="s">
        <v>2047</v>
      </c>
      <c r="S299" s="388" t="s">
        <v>2048</v>
      </c>
      <c r="T299" s="387" t="s">
        <v>1174</v>
      </c>
      <c r="U299" s="385" t="s">
        <v>2049</v>
      </c>
      <c r="V299" s="385" t="s">
        <v>2048</v>
      </c>
      <c r="W299" s="388" t="s">
        <v>2048</v>
      </c>
      <c r="X299" s="324" t="s">
        <v>3366</v>
      </c>
      <c r="Y299" s="324" t="s">
        <v>3402</v>
      </c>
      <c r="Z299" s="322" t="s">
        <v>3385</v>
      </c>
      <c r="AA299" s="392">
        <v>6354</v>
      </c>
    </row>
    <row r="300" spans="17:27" ht="13.8">
      <c r="Q300" s="385">
        <f t="shared" si="4"/>
        <v>294</v>
      </c>
      <c r="R300" s="386" t="s">
        <v>2050</v>
      </c>
      <c r="S300" s="386" t="s">
        <v>2051</v>
      </c>
      <c r="T300" s="387" t="s">
        <v>1170</v>
      </c>
      <c r="U300" s="385" t="s">
        <v>2052</v>
      </c>
      <c r="V300" s="385" t="s">
        <v>2051</v>
      </c>
      <c r="W300" s="386" t="s">
        <v>3219</v>
      </c>
      <c r="X300" s="324" t="s">
        <v>3364</v>
      </c>
      <c r="Y300" s="324" t="s">
        <v>3400</v>
      </c>
      <c r="Z300" s="322" t="s">
        <v>3389</v>
      </c>
      <c r="AA300" s="392">
        <v>40191</v>
      </c>
    </row>
    <row r="301" spans="17:27" ht="13.8">
      <c r="Q301" s="385">
        <f t="shared" si="4"/>
        <v>295</v>
      </c>
      <c r="R301" s="386" t="s">
        <v>2053</v>
      </c>
      <c r="S301" s="386" t="s">
        <v>2054</v>
      </c>
      <c r="T301" s="387" t="s">
        <v>1170</v>
      </c>
      <c r="U301" s="385" t="s">
        <v>2055</v>
      </c>
      <c r="V301" s="385" t="s">
        <v>2983</v>
      </c>
      <c r="W301" s="386" t="s">
        <v>2983</v>
      </c>
      <c r="X301" s="324" t="s">
        <v>3365</v>
      </c>
      <c r="Y301" s="324" t="s">
        <v>3400</v>
      </c>
      <c r="Z301" s="322" t="s">
        <v>3381</v>
      </c>
      <c r="AA301" s="392">
        <v>8810</v>
      </c>
    </row>
    <row r="302" spans="17:27" ht="13.8">
      <c r="Q302" s="385">
        <f t="shared" si="4"/>
        <v>296</v>
      </c>
      <c r="R302" s="386" t="s">
        <v>2056</v>
      </c>
      <c r="S302" s="386" t="s">
        <v>2057</v>
      </c>
      <c r="T302" s="387" t="s">
        <v>1346</v>
      </c>
      <c r="U302" s="385" t="s">
        <v>2058</v>
      </c>
      <c r="V302" s="385" t="s">
        <v>2057</v>
      </c>
      <c r="W302" s="386" t="s">
        <v>3220</v>
      </c>
      <c r="X302" s="324" t="s">
        <v>3364</v>
      </c>
      <c r="Y302" s="324" t="s">
        <v>3401</v>
      </c>
      <c r="Z302" s="322" t="s">
        <v>3383</v>
      </c>
      <c r="AA302" s="392">
        <v>7976</v>
      </c>
    </row>
    <row r="303" spans="17:27" ht="13.8">
      <c r="Q303" s="385">
        <f t="shared" si="4"/>
        <v>297</v>
      </c>
      <c r="R303" s="386" t="s">
        <v>2059</v>
      </c>
      <c r="S303" s="386" t="s">
        <v>2060</v>
      </c>
      <c r="T303" s="387" t="s">
        <v>1178</v>
      </c>
      <c r="U303" s="385" t="s">
        <v>2061</v>
      </c>
      <c r="V303" s="385" t="s">
        <v>2984</v>
      </c>
      <c r="W303" s="386" t="s">
        <v>2984</v>
      </c>
      <c r="X303" s="324" t="s">
        <v>3365</v>
      </c>
      <c r="Y303" s="324" t="s">
        <v>3400</v>
      </c>
      <c r="Z303" s="322" t="s">
        <v>3381</v>
      </c>
      <c r="AA303" s="392">
        <v>9555</v>
      </c>
    </row>
    <row r="304" spans="17:27" ht="13.8">
      <c r="Q304" s="385">
        <f t="shared" si="4"/>
        <v>298</v>
      </c>
      <c r="R304" s="386" t="s">
        <v>2062</v>
      </c>
      <c r="S304" s="386" t="s">
        <v>2063</v>
      </c>
      <c r="T304" s="387" t="s">
        <v>1239</v>
      </c>
      <c r="U304" s="385" t="s">
        <v>2064</v>
      </c>
      <c r="V304" s="385" t="s">
        <v>2985</v>
      </c>
      <c r="W304" s="386" t="s">
        <v>2985</v>
      </c>
      <c r="X304" s="324" t="s">
        <v>3365</v>
      </c>
      <c r="Y304" s="324" t="s">
        <v>3400</v>
      </c>
      <c r="Z304" s="322" t="s">
        <v>3397</v>
      </c>
      <c r="AA304" s="392">
        <v>4146</v>
      </c>
    </row>
    <row r="305" spans="17:27" ht="13.8">
      <c r="Q305" s="385">
        <f t="shared" si="4"/>
        <v>299</v>
      </c>
      <c r="R305" s="386" t="s">
        <v>2065</v>
      </c>
      <c r="S305" s="386" t="s">
        <v>2066</v>
      </c>
      <c r="T305" s="387" t="s">
        <v>1239</v>
      </c>
      <c r="U305" s="385" t="s">
        <v>2067</v>
      </c>
      <c r="V305" s="385" t="s">
        <v>2066</v>
      </c>
      <c r="W305" s="386" t="s">
        <v>3221</v>
      </c>
      <c r="X305" s="324" t="s">
        <v>3364</v>
      </c>
      <c r="Y305" s="324" t="s">
        <v>3400</v>
      </c>
      <c r="Z305" s="322" t="s">
        <v>3387</v>
      </c>
      <c r="AA305" s="392">
        <v>23033</v>
      </c>
    </row>
    <row r="306" spans="17:27" ht="13.8">
      <c r="Q306" s="385">
        <f t="shared" si="4"/>
        <v>300</v>
      </c>
      <c r="R306" s="386" t="s">
        <v>2068</v>
      </c>
      <c r="S306" s="386" t="s">
        <v>2069</v>
      </c>
      <c r="T306" s="387" t="s">
        <v>1318</v>
      </c>
      <c r="U306" s="385" t="s">
        <v>2070</v>
      </c>
      <c r="V306" s="385" t="s">
        <v>2986</v>
      </c>
      <c r="W306" s="386" t="s">
        <v>2986</v>
      </c>
      <c r="X306" s="324" t="s">
        <v>3365</v>
      </c>
      <c r="Y306" s="324" t="s">
        <v>3400</v>
      </c>
      <c r="Z306" s="322" t="s">
        <v>3381</v>
      </c>
      <c r="AA306" s="392">
        <v>4981</v>
      </c>
    </row>
    <row r="307" spans="17:27" ht="13.8">
      <c r="Q307" s="385">
        <f t="shared" si="4"/>
        <v>301</v>
      </c>
      <c r="R307" s="386" t="s">
        <v>2071</v>
      </c>
      <c r="S307" s="386" t="s">
        <v>2072</v>
      </c>
      <c r="T307" s="387" t="s">
        <v>1318</v>
      </c>
      <c r="U307" s="385" t="s">
        <v>2073</v>
      </c>
      <c r="V307" s="385" t="s">
        <v>2072</v>
      </c>
      <c r="W307" s="386" t="s">
        <v>2986</v>
      </c>
      <c r="X307" s="324" t="s">
        <v>3364</v>
      </c>
      <c r="Y307" s="324" t="s">
        <v>3401</v>
      </c>
      <c r="Z307" s="322" t="s">
        <v>3386</v>
      </c>
      <c r="AA307" s="392">
        <v>5869</v>
      </c>
    </row>
    <row r="308" spans="17:27" ht="13.8">
      <c r="Q308" s="385">
        <f t="shared" si="4"/>
        <v>302</v>
      </c>
      <c r="R308" s="386" t="s">
        <v>2074</v>
      </c>
      <c r="S308" s="386" t="s">
        <v>2075</v>
      </c>
      <c r="T308" s="387" t="s">
        <v>1215</v>
      </c>
      <c r="U308" s="385" t="s">
        <v>2076</v>
      </c>
      <c r="V308" s="385" t="s">
        <v>2987</v>
      </c>
      <c r="W308" s="386" t="s">
        <v>2987</v>
      </c>
      <c r="X308" s="324" t="s">
        <v>3365</v>
      </c>
      <c r="Y308" s="324" t="s">
        <v>3400</v>
      </c>
      <c r="Z308" s="322" t="s">
        <v>3381</v>
      </c>
      <c r="AA308" s="392">
        <v>3821</v>
      </c>
    </row>
    <row r="309" spans="17:27" ht="13.8">
      <c r="Q309" s="385">
        <f t="shared" si="4"/>
        <v>303</v>
      </c>
      <c r="R309" s="386" t="s">
        <v>2077</v>
      </c>
      <c r="S309" s="386" t="s">
        <v>2078</v>
      </c>
      <c r="T309" s="387" t="s">
        <v>1401</v>
      </c>
      <c r="U309" s="385" t="s">
        <v>2079</v>
      </c>
      <c r="V309" s="385" t="s">
        <v>2988</v>
      </c>
      <c r="W309" s="386" t="s">
        <v>2988</v>
      </c>
      <c r="X309" s="324" t="s">
        <v>3365</v>
      </c>
      <c r="Y309" s="324" t="s">
        <v>3400</v>
      </c>
      <c r="Z309" s="322" t="s">
        <v>3381</v>
      </c>
      <c r="AA309" s="392">
        <v>13574</v>
      </c>
    </row>
    <row r="310" spans="17:27" ht="13.8">
      <c r="Q310" s="385">
        <f t="shared" si="4"/>
        <v>304</v>
      </c>
      <c r="R310" s="386" t="s">
        <v>2080</v>
      </c>
      <c r="S310" s="386" t="s">
        <v>2081</v>
      </c>
      <c r="T310" s="387" t="s">
        <v>1222</v>
      </c>
      <c r="U310" s="385" t="s">
        <v>2082</v>
      </c>
      <c r="V310" s="385" t="s">
        <v>2081</v>
      </c>
      <c r="W310" s="386" t="s">
        <v>3222</v>
      </c>
      <c r="X310" s="324" t="s">
        <v>3364</v>
      </c>
      <c r="Y310" s="324" t="s">
        <v>3401</v>
      </c>
      <c r="Z310" s="322" t="s">
        <v>3383</v>
      </c>
      <c r="AA310" s="392">
        <v>18911</v>
      </c>
    </row>
    <row r="311" spans="17:27" ht="13.8">
      <c r="Q311" s="385">
        <f t="shared" si="4"/>
        <v>305</v>
      </c>
      <c r="R311" s="386" t="s">
        <v>2083</v>
      </c>
      <c r="S311" s="386" t="s">
        <v>2084</v>
      </c>
      <c r="T311" s="387" t="s">
        <v>1401</v>
      </c>
      <c r="U311" s="385" t="s">
        <v>2085</v>
      </c>
      <c r="V311" s="385" t="s">
        <v>1401</v>
      </c>
      <c r="W311" s="386" t="s">
        <v>1401</v>
      </c>
      <c r="X311" s="324" t="s">
        <v>3365</v>
      </c>
      <c r="Y311" s="324" t="s">
        <v>3400</v>
      </c>
      <c r="Z311" s="322" t="s">
        <v>3381</v>
      </c>
      <c r="AA311" s="392">
        <v>13635</v>
      </c>
    </row>
    <row r="312" spans="17:27" ht="13.8">
      <c r="Q312" s="385">
        <f t="shared" si="4"/>
        <v>306</v>
      </c>
      <c r="R312" s="386" t="s">
        <v>2086</v>
      </c>
      <c r="S312" s="386" t="s">
        <v>2087</v>
      </c>
      <c r="T312" s="387" t="s">
        <v>1170</v>
      </c>
      <c r="U312" s="385" t="s">
        <v>2088</v>
      </c>
      <c r="V312" s="385" t="s">
        <v>2087</v>
      </c>
      <c r="W312" s="386" t="s">
        <v>3223</v>
      </c>
      <c r="X312" s="324" t="s">
        <v>3364</v>
      </c>
      <c r="Y312" s="324" t="s">
        <v>3400</v>
      </c>
      <c r="Z312" s="322" t="s">
        <v>3387</v>
      </c>
      <c r="AA312" s="392">
        <v>66522</v>
      </c>
    </row>
    <row r="313" spans="17:27" ht="13.8">
      <c r="Q313" s="385">
        <f t="shared" si="4"/>
        <v>307</v>
      </c>
      <c r="R313" s="386" t="s">
        <v>2089</v>
      </c>
      <c r="S313" s="386" t="s">
        <v>2090</v>
      </c>
      <c r="T313" s="387" t="s">
        <v>1178</v>
      </c>
      <c r="U313" s="385" t="s">
        <v>2091</v>
      </c>
      <c r="V313" s="385" t="s">
        <v>2989</v>
      </c>
      <c r="W313" s="386" t="s">
        <v>2989</v>
      </c>
      <c r="X313" s="324" t="s">
        <v>3365</v>
      </c>
      <c r="Y313" s="324" t="s">
        <v>3400</v>
      </c>
      <c r="Z313" s="322" t="s">
        <v>3381</v>
      </c>
      <c r="AA313" s="392">
        <v>7128</v>
      </c>
    </row>
    <row r="314" spans="17:27" ht="13.8">
      <c r="Q314" s="385">
        <f t="shared" si="4"/>
        <v>308</v>
      </c>
      <c r="R314" s="386" t="s">
        <v>2092</v>
      </c>
      <c r="S314" s="386" t="s">
        <v>2093</v>
      </c>
      <c r="T314" s="387" t="s">
        <v>1295</v>
      </c>
      <c r="U314" s="385" t="s">
        <v>2094</v>
      </c>
      <c r="V314" s="385" t="s">
        <v>2990</v>
      </c>
      <c r="W314" s="386" t="s">
        <v>2990</v>
      </c>
      <c r="X314" s="324" t="s">
        <v>3365</v>
      </c>
      <c r="Y314" s="324" t="s">
        <v>3400</v>
      </c>
      <c r="Z314" s="322" t="s">
        <v>3381</v>
      </c>
      <c r="AA314" s="392">
        <v>1233</v>
      </c>
    </row>
    <row r="315" spans="17:27" ht="13.8">
      <c r="Q315" s="385">
        <f t="shared" si="4"/>
        <v>309</v>
      </c>
      <c r="R315" s="386" t="s">
        <v>2095</v>
      </c>
      <c r="S315" s="386" t="s">
        <v>2096</v>
      </c>
      <c r="T315" s="387" t="s">
        <v>1260</v>
      </c>
      <c r="U315" s="385" t="s">
        <v>2097</v>
      </c>
      <c r="V315" s="385" t="s">
        <v>2096</v>
      </c>
      <c r="W315" s="386" t="s">
        <v>3224</v>
      </c>
      <c r="X315" s="324" t="s">
        <v>3364</v>
      </c>
      <c r="Y315" s="324" t="s">
        <v>3401</v>
      </c>
      <c r="Z315" s="322" t="s">
        <v>3386</v>
      </c>
      <c r="AA315" s="392">
        <v>20149</v>
      </c>
    </row>
    <row r="316" spans="17:27" ht="13.8">
      <c r="Q316" s="385">
        <f t="shared" si="4"/>
        <v>310</v>
      </c>
      <c r="R316" s="386" t="s">
        <v>2098</v>
      </c>
      <c r="S316" s="386" t="s">
        <v>2099</v>
      </c>
      <c r="T316" s="387" t="s">
        <v>1256</v>
      </c>
      <c r="U316" s="385" t="s">
        <v>2100</v>
      </c>
      <c r="V316" s="385" t="s">
        <v>2991</v>
      </c>
      <c r="W316" s="386" t="s">
        <v>2991</v>
      </c>
      <c r="X316" s="324" t="s">
        <v>3365</v>
      </c>
      <c r="Y316" s="324" t="s">
        <v>3400</v>
      </c>
      <c r="Z316" s="322" t="s">
        <v>3381</v>
      </c>
      <c r="AA316" s="392">
        <v>418</v>
      </c>
    </row>
    <row r="317" spans="17:27" ht="13.8">
      <c r="Q317" s="385">
        <f t="shared" si="4"/>
        <v>311</v>
      </c>
      <c r="R317" s="386" t="s">
        <v>2101</v>
      </c>
      <c r="S317" s="386" t="s">
        <v>2102</v>
      </c>
      <c r="T317" s="387" t="s">
        <v>1170</v>
      </c>
      <c r="U317" s="385" t="s">
        <v>2103</v>
      </c>
      <c r="V317" s="385" t="s">
        <v>2102</v>
      </c>
      <c r="W317" s="386" t="s">
        <v>2991</v>
      </c>
      <c r="X317" s="324" t="s">
        <v>3364</v>
      </c>
      <c r="Y317" s="324" t="s">
        <v>3401</v>
      </c>
      <c r="Z317" s="322" t="s">
        <v>3386</v>
      </c>
      <c r="AA317" s="392">
        <v>10566</v>
      </c>
    </row>
    <row r="318" spans="17:27" ht="13.8">
      <c r="Q318" s="385">
        <f t="shared" si="4"/>
        <v>312</v>
      </c>
      <c r="R318" s="386" t="s">
        <v>2104</v>
      </c>
      <c r="S318" s="386" t="s">
        <v>2105</v>
      </c>
      <c r="T318" s="387" t="s">
        <v>1401</v>
      </c>
      <c r="U318" s="385" t="s">
        <v>2106</v>
      </c>
      <c r="V318" s="385" t="s">
        <v>2992</v>
      </c>
      <c r="W318" s="386" t="s">
        <v>2992</v>
      </c>
      <c r="X318" s="324" t="s">
        <v>3365</v>
      </c>
      <c r="Y318" s="324" t="s">
        <v>3400</v>
      </c>
      <c r="Z318" s="322" t="s">
        <v>3381</v>
      </c>
      <c r="AA318" s="392">
        <v>6893</v>
      </c>
    </row>
    <row r="319" spans="17:27" ht="13.8">
      <c r="Q319" s="385">
        <f t="shared" si="4"/>
        <v>313</v>
      </c>
      <c r="R319" s="386" t="s">
        <v>2107</v>
      </c>
      <c r="S319" s="386" t="s">
        <v>2108</v>
      </c>
      <c r="T319" s="387" t="s">
        <v>1346</v>
      </c>
      <c r="U319" s="385" t="s">
        <v>2109</v>
      </c>
      <c r="V319" s="385" t="s">
        <v>3327</v>
      </c>
      <c r="W319" s="386" t="s">
        <v>3327</v>
      </c>
      <c r="X319" s="324" t="s">
        <v>3366</v>
      </c>
      <c r="Y319" s="324" t="s">
        <v>3402</v>
      </c>
      <c r="Z319" s="322" t="s">
        <v>3396</v>
      </c>
      <c r="AA319" s="392">
        <v>28400</v>
      </c>
    </row>
    <row r="320" spans="17:27" ht="13.8">
      <c r="Q320" s="385">
        <f t="shared" si="4"/>
        <v>314</v>
      </c>
      <c r="R320" s="386" t="s">
        <v>2110</v>
      </c>
      <c r="S320" s="386" t="s">
        <v>2111</v>
      </c>
      <c r="T320" s="387" t="s">
        <v>1318</v>
      </c>
      <c r="U320" s="385" t="s">
        <v>2112</v>
      </c>
      <c r="V320" s="385" t="s">
        <v>2111</v>
      </c>
      <c r="W320" s="386" t="s">
        <v>3225</v>
      </c>
      <c r="X320" s="324" t="s">
        <v>3364</v>
      </c>
      <c r="Y320" s="324" t="s">
        <v>3400</v>
      </c>
      <c r="Z320" s="322" t="s">
        <v>3389</v>
      </c>
      <c r="AA320" s="392">
        <v>3651</v>
      </c>
    </row>
    <row r="321" spans="17:27" ht="13.8">
      <c r="Q321" s="385">
        <f t="shared" si="4"/>
        <v>315</v>
      </c>
      <c r="R321" s="386" t="s">
        <v>2113</v>
      </c>
      <c r="S321" s="386" t="s">
        <v>2114</v>
      </c>
      <c r="T321" s="387" t="s">
        <v>1170</v>
      </c>
      <c r="U321" s="385" t="s">
        <v>2115</v>
      </c>
      <c r="V321" s="385" t="s">
        <v>2993</v>
      </c>
      <c r="W321" s="386" t="s">
        <v>2993</v>
      </c>
      <c r="X321" s="324" t="s">
        <v>3365</v>
      </c>
      <c r="Y321" s="324" t="s">
        <v>3402</v>
      </c>
      <c r="Z321" s="322" t="s">
        <v>3385</v>
      </c>
      <c r="AA321" s="392">
        <v>3279</v>
      </c>
    </row>
    <row r="322" spans="17:27" ht="13.8">
      <c r="Q322" s="385">
        <f t="shared" si="4"/>
        <v>316</v>
      </c>
      <c r="R322" s="386" t="s">
        <v>2116</v>
      </c>
      <c r="S322" s="386" t="s">
        <v>2117</v>
      </c>
      <c r="T322" s="387" t="s">
        <v>1435</v>
      </c>
      <c r="U322" s="385" t="s">
        <v>2118</v>
      </c>
      <c r="V322" s="385" t="s">
        <v>2117</v>
      </c>
      <c r="W322" s="386" t="s">
        <v>3226</v>
      </c>
      <c r="X322" s="324" t="s">
        <v>3364</v>
      </c>
      <c r="Y322" s="324" t="s">
        <v>3400</v>
      </c>
      <c r="Z322" s="322" t="s">
        <v>3382</v>
      </c>
      <c r="AA322" s="392">
        <v>36129</v>
      </c>
    </row>
    <row r="323" spans="17:27" ht="13.8">
      <c r="Q323" s="385">
        <f t="shared" si="4"/>
        <v>317</v>
      </c>
      <c r="R323" s="386" t="s">
        <v>2119</v>
      </c>
      <c r="S323" s="386" t="s">
        <v>2117</v>
      </c>
      <c r="T323" s="387" t="s">
        <v>1401</v>
      </c>
      <c r="U323" s="385" t="s">
        <v>2120</v>
      </c>
      <c r="V323" s="385" t="s">
        <v>2117</v>
      </c>
      <c r="W323" s="386" t="s">
        <v>3226</v>
      </c>
      <c r="X323" s="324" t="s">
        <v>3364</v>
      </c>
      <c r="Y323" s="324" t="s">
        <v>3400</v>
      </c>
      <c r="Z323" s="322" t="s">
        <v>3389</v>
      </c>
      <c r="AA323" s="392">
        <v>39132</v>
      </c>
    </row>
    <row r="324" spans="17:27" ht="13.8">
      <c r="Q324" s="385">
        <f t="shared" si="4"/>
        <v>318</v>
      </c>
      <c r="R324" s="386" t="s">
        <v>2121</v>
      </c>
      <c r="S324" s="386" t="s">
        <v>2122</v>
      </c>
      <c r="T324" s="387" t="s">
        <v>1199</v>
      </c>
      <c r="U324" s="385" t="s">
        <v>2123</v>
      </c>
      <c r="V324" s="385" t="s">
        <v>2122</v>
      </c>
      <c r="W324" s="386" t="s">
        <v>3227</v>
      </c>
      <c r="X324" s="324" t="s">
        <v>3364</v>
      </c>
      <c r="Y324" s="324" t="s">
        <v>3401</v>
      </c>
      <c r="Z324" s="322" t="s">
        <v>3386</v>
      </c>
      <c r="AA324" s="392">
        <v>3847</v>
      </c>
    </row>
    <row r="325" spans="17:27" ht="13.8">
      <c r="Q325" s="385">
        <f t="shared" si="4"/>
        <v>319</v>
      </c>
      <c r="R325" s="386" t="s">
        <v>2124</v>
      </c>
      <c r="S325" s="386" t="s">
        <v>2125</v>
      </c>
      <c r="T325" s="387" t="s">
        <v>1260</v>
      </c>
      <c r="U325" s="385" t="s">
        <v>2126</v>
      </c>
      <c r="V325" s="385" t="s">
        <v>2125</v>
      </c>
      <c r="W325" s="386" t="s">
        <v>3228</v>
      </c>
      <c r="X325" s="324" t="s">
        <v>3364</v>
      </c>
      <c r="Y325" s="324" t="s">
        <v>3400</v>
      </c>
      <c r="Z325" s="322" t="s">
        <v>3381</v>
      </c>
      <c r="AA325" s="392">
        <v>37669</v>
      </c>
    </row>
    <row r="326" spans="17:27" ht="13.8">
      <c r="Q326" s="385">
        <f t="shared" si="4"/>
        <v>320</v>
      </c>
      <c r="R326" s="386" t="s">
        <v>2127</v>
      </c>
      <c r="S326" s="386" t="s">
        <v>2128</v>
      </c>
      <c r="T326" s="387" t="s">
        <v>1256</v>
      </c>
      <c r="U326" s="385" t="s">
        <v>2129</v>
      </c>
      <c r="V326" s="385" t="s">
        <v>2128</v>
      </c>
      <c r="W326" s="386" t="s">
        <v>3229</v>
      </c>
      <c r="X326" s="324" t="s">
        <v>3364</v>
      </c>
      <c r="Y326" s="324" t="s">
        <v>3401</v>
      </c>
      <c r="Z326" s="322" t="s">
        <v>3386</v>
      </c>
      <c r="AA326" s="392">
        <v>22254</v>
      </c>
    </row>
    <row r="327" spans="17:27" ht="13.8">
      <c r="Q327" s="385">
        <f t="shared" si="4"/>
        <v>321</v>
      </c>
      <c r="R327" s="386" t="s">
        <v>2130</v>
      </c>
      <c r="S327" s="386" t="s">
        <v>2131</v>
      </c>
      <c r="T327" s="387" t="s">
        <v>1178</v>
      </c>
      <c r="U327" s="385" t="s">
        <v>2132</v>
      </c>
      <c r="V327" s="385" t="s">
        <v>2994</v>
      </c>
      <c r="W327" s="386" t="s">
        <v>2994</v>
      </c>
      <c r="X327" s="324" t="s">
        <v>3365</v>
      </c>
      <c r="Y327" s="324" t="s">
        <v>3400</v>
      </c>
      <c r="Z327" s="322" t="s">
        <v>3381</v>
      </c>
      <c r="AA327" s="392">
        <v>7844</v>
      </c>
    </row>
    <row r="328" spans="17:27" ht="13.8">
      <c r="Q328" s="385">
        <f t="shared" si="4"/>
        <v>322</v>
      </c>
      <c r="R328" s="386" t="s">
        <v>2133</v>
      </c>
      <c r="S328" s="386" t="s">
        <v>2134</v>
      </c>
      <c r="T328" s="387" t="s">
        <v>1318</v>
      </c>
      <c r="U328" s="385" t="s">
        <v>2135</v>
      </c>
      <c r="V328" s="385" t="s">
        <v>2134</v>
      </c>
      <c r="W328" s="386" t="s">
        <v>3230</v>
      </c>
      <c r="X328" s="324" t="s">
        <v>3364</v>
      </c>
      <c r="Y328" s="324" t="s">
        <v>3401</v>
      </c>
      <c r="Z328" s="322" t="s">
        <v>3386</v>
      </c>
      <c r="AA328" s="392">
        <v>21528</v>
      </c>
    </row>
    <row r="329" spans="17:27" ht="13.8">
      <c r="Q329" s="385">
        <f t="shared" ref="Q329:Q392" si="5">Q328+1</f>
        <v>323</v>
      </c>
      <c r="R329" s="386" t="s">
        <v>2136</v>
      </c>
      <c r="S329" s="386" t="s">
        <v>2137</v>
      </c>
      <c r="T329" s="387" t="s">
        <v>1178</v>
      </c>
      <c r="U329" s="385" t="s">
        <v>2138</v>
      </c>
      <c r="V329" s="385" t="s">
        <v>2995</v>
      </c>
      <c r="W329" s="386" t="s">
        <v>2995</v>
      </c>
      <c r="X329" s="324" t="s">
        <v>3365</v>
      </c>
      <c r="Y329" s="324" t="s">
        <v>3400</v>
      </c>
      <c r="Z329" s="322" t="s">
        <v>3381</v>
      </c>
      <c r="AA329" s="392">
        <v>2708</v>
      </c>
    </row>
    <row r="330" spans="17:27" ht="13.8">
      <c r="Q330" s="385">
        <f t="shared" si="5"/>
        <v>324</v>
      </c>
      <c r="R330" s="386" t="s">
        <v>2139</v>
      </c>
      <c r="S330" s="386" t="s">
        <v>2140</v>
      </c>
      <c r="T330" s="387" t="s">
        <v>1239</v>
      </c>
      <c r="U330" s="385" t="s">
        <v>2141</v>
      </c>
      <c r="V330" s="385" t="s">
        <v>2140</v>
      </c>
      <c r="W330" s="386" t="s">
        <v>3231</v>
      </c>
      <c r="X330" s="324" t="s">
        <v>3364</v>
      </c>
      <c r="Y330" s="324" t="s">
        <v>3400</v>
      </c>
      <c r="Z330" s="322" t="s">
        <v>3387</v>
      </c>
      <c r="AA330" s="392">
        <v>20726</v>
      </c>
    </row>
    <row r="331" spans="17:27" ht="13.8">
      <c r="Q331" s="385">
        <f t="shared" si="5"/>
        <v>325</v>
      </c>
      <c r="R331" s="386" t="s">
        <v>2142</v>
      </c>
      <c r="S331" s="386" t="s">
        <v>2143</v>
      </c>
      <c r="T331" s="387" t="s">
        <v>1318</v>
      </c>
      <c r="U331" s="385" t="s">
        <v>2144</v>
      </c>
      <c r="V331" s="385" t="s">
        <v>2996</v>
      </c>
      <c r="W331" s="386" t="s">
        <v>2996</v>
      </c>
      <c r="X331" s="324" t="s">
        <v>3365</v>
      </c>
      <c r="Y331" s="324" t="s">
        <v>3400</v>
      </c>
      <c r="Z331" s="322" t="s">
        <v>3381</v>
      </c>
      <c r="AA331" s="392">
        <v>5532</v>
      </c>
    </row>
    <row r="332" spans="17:27" ht="13.8">
      <c r="Q332" s="385">
        <f t="shared" si="5"/>
        <v>326</v>
      </c>
      <c r="R332" s="386" t="s">
        <v>2145</v>
      </c>
      <c r="S332" s="386" t="s">
        <v>2146</v>
      </c>
      <c r="T332" s="387" t="s">
        <v>1318</v>
      </c>
      <c r="U332" s="385" t="s">
        <v>2147</v>
      </c>
      <c r="V332" s="385" t="s">
        <v>2146</v>
      </c>
      <c r="W332" s="386" t="s">
        <v>1318</v>
      </c>
      <c r="X332" s="324" t="s">
        <v>3364</v>
      </c>
      <c r="Y332" s="324" t="s">
        <v>3401</v>
      </c>
      <c r="Z332" s="322" t="s">
        <v>3386</v>
      </c>
      <c r="AA332" s="392">
        <v>22306</v>
      </c>
    </row>
    <row r="333" spans="17:27" ht="13.8">
      <c r="Q333" s="385">
        <f t="shared" si="5"/>
        <v>327</v>
      </c>
      <c r="R333" s="386" t="s">
        <v>2148</v>
      </c>
      <c r="S333" s="386" t="s">
        <v>2149</v>
      </c>
      <c r="T333" s="387" t="s">
        <v>1318</v>
      </c>
      <c r="U333" s="385" t="s">
        <v>2150</v>
      </c>
      <c r="V333" s="385" t="s">
        <v>3353</v>
      </c>
      <c r="W333" s="386" t="s">
        <v>3353</v>
      </c>
      <c r="X333" s="324" t="s">
        <v>2858</v>
      </c>
      <c r="Y333" s="324" t="s">
        <v>3400</v>
      </c>
      <c r="Z333" s="322" t="s">
        <v>3382</v>
      </c>
      <c r="AA333" s="392">
        <v>18411</v>
      </c>
    </row>
    <row r="334" spans="17:27" ht="13.8">
      <c r="Q334" s="385">
        <f t="shared" si="5"/>
        <v>328</v>
      </c>
      <c r="R334" s="386" t="s">
        <v>2151</v>
      </c>
      <c r="S334" s="386" t="s">
        <v>2152</v>
      </c>
      <c r="T334" s="387" t="s">
        <v>1318</v>
      </c>
      <c r="U334" s="385" t="s">
        <v>2153</v>
      </c>
      <c r="V334" s="385" t="s">
        <v>2997</v>
      </c>
      <c r="W334" s="386" t="s">
        <v>2997</v>
      </c>
      <c r="X334" s="324" t="s">
        <v>3365</v>
      </c>
      <c r="Y334" s="324" t="s">
        <v>3400</v>
      </c>
      <c r="Z334" s="322" t="s">
        <v>3390</v>
      </c>
      <c r="AA334" s="392">
        <v>5050</v>
      </c>
    </row>
    <row r="335" spans="17:27" ht="13.8">
      <c r="Q335" s="385">
        <f t="shared" si="5"/>
        <v>329</v>
      </c>
      <c r="R335" s="386" t="s">
        <v>2154</v>
      </c>
      <c r="S335" s="388" t="s">
        <v>2155</v>
      </c>
      <c r="T335" s="387" t="s">
        <v>1215</v>
      </c>
      <c r="U335" s="385" t="s">
        <v>2156</v>
      </c>
      <c r="V335" s="385" t="s">
        <v>2998</v>
      </c>
      <c r="W335" s="388" t="s">
        <v>2998</v>
      </c>
      <c r="X335" s="324" t="s">
        <v>3365</v>
      </c>
      <c r="Y335" s="324" t="s">
        <v>3402</v>
      </c>
      <c r="Z335" s="322" t="s">
        <v>3385</v>
      </c>
      <c r="AA335" s="392">
        <v>4676</v>
      </c>
    </row>
    <row r="336" spans="17:27" ht="13.8">
      <c r="Q336" s="385">
        <f t="shared" si="5"/>
        <v>330</v>
      </c>
      <c r="R336" s="386" t="s">
        <v>2157</v>
      </c>
      <c r="S336" s="386" t="s">
        <v>2158</v>
      </c>
      <c r="T336" s="387" t="s">
        <v>1239</v>
      </c>
      <c r="U336" s="385" t="s">
        <v>2159</v>
      </c>
      <c r="V336" s="385" t="s">
        <v>2158</v>
      </c>
      <c r="W336" s="386" t="s">
        <v>3232</v>
      </c>
      <c r="X336" s="324" t="s">
        <v>3364</v>
      </c>
      <c r="Y336" s="324" t="s">
        <v>3400</v>
      </c>
      <c r="Z336" s="322" t="s">
        <v>3387</v>
      </c>
      <c r="AA336" s="392">
        <v>9536</v>
      </c>
    </row>
    <row r="337" spans="17:27" ht="13.8">
      <c r="Q337" s="385">
        <f t="shared" si="5"/>
        <v>331</v>
      </c>
      <c r="R337" s="386" t="s">
        <v>2160</v>
      </c>
      <c r="S337" s="386" t="s">
        <v>2161</v>
      </c>
      <c r="T337" s="387" t="s">
        <v>1239</v>
      </c>
      <c r="U337" s="385" t="s">
        <v>2162</v>
      </c>
      <c r="V337" s="385" t="s">
        <v>2161</v>
      </c>
      <c r="W337" s="386" t="s">
        <v>3233</v>
      </c>
      <c r="X337" s="324" t="s">
        <v>3364</v>
      </c>
      <c r="Y337" s="324" t="s">
        <v>3400</v>
      </c>
      <c r="Z337" s="322" t="s">
        <v>3387</v>
      </c>
      <c r="AA337" s="392">
        <v>41864</v>
      </c>
    </row>
    <row r="338" spans="17:27" ht="13.8">
      <c r="Q338" s="385">
        <f t="shared" si="5"/>
        <v>332</v>
      </c>
      <c r="R338" s="386" t="s">
        <v>2163</v>
      </c>
      <c r="S338" s="386" t="s">
        <v>2164</v>
      </c>
      <c r="T338" s="387" t="s">
        <v>1318</v>
      </c>
      <c r="U338" s="385" t="s">
        <v>2165</v>
      </c>
      <c r="V338" s="385" t="s">
        <v>2164</v>
      </c>
      <c r="W338" s="386" t="s">
        <v>3234</v>
      </c>
      <c r="X338" s="324" t="s">
        <v>3364</v>
      </c>
      <c r="Y338" s="324" t="s">
        <v>3400</v>
      </c>
      <c r="Z338" s="322" t="s">
        <v>3381</v>
      </c>
      <c r="AA338" s="392">
        <v>28117</v>
      </c>
    </row>
    <row r="339" spans="17:27" ht="13.8">
      <c r="Q339" s="385">
        <f t="shared" si="5"/>
        <v>333</v>
      </c>
      <c r="R339" s="386" t="s">
        <v>2166</v>
      </c>
      <c r="S339" s="386" t="s">
        <v>2167</v>
      </c>
      <c r="T339" s="387" t="s">
        <v>1318</v>
      </c>
      <c r="U339" s="385" t="s">
        <v>2168</v>
      </c>
      <c r="V339" s="385" t="s">
        <v>2999</v>
      </c>
      <c r="W339" s="386" t="s">
        <v>2999</v>
      </c>
      <c r="X339" s="324" t="s">
        <v>3365</v>
      </c>
      <c r="Y339" s="324" t="s">
        <v>3400</v>
      </c>
      <c r="Z339" s="322" t="s">
        <v>3382</v>
      </c>
      <c r="AA339" s="392">
        <v>4160</v>
      </c>
    </row>
    <row r="340" spans="17:27" ht="13.8">
      <c r="Q340" s="385">
        <f t="shared" si="5"/>
        <v>334</v>
      </c>
      <c r="R340" s="386" t="s">
        <v>2169</v>
      </c>
      <c r="S340" s="386" t="s">
        <v>2170</v>
      </c>
      <c r="T340" s="387" t="s">
        <v>1276</v>
      </c>
      <c r="U340" s="385" t="s">
        <v>2171</v>
      </c>
      <c r="V340" s="385" t="s">
        <v>3000</v>
      </c>
      <c r="W340" s="386" t="s">
        <v>3000</v>
      </c>
      <c r="X340" s="324" t="s">
        <v>3365</v>
      </c>
      <c r="Y340" s="324" t="s">
        <v>3400</v>
      </c>
      <c r="Z340" s="322" t="s">
        <v>3381</v>
      </c>
      <c r="AA340" s="392">
        <v>6685</v>
      </c>
    </row>
    <row r="341" spans="17:27" ht="13.8">
      <c r="Q341" s="385">
        <f t="shared" si="5"/>
        <v>335</v>
      </c>
      <c r="R341" s="386" t="s">
        <v>2172</v>
      </c>
      <c r="S341" s="388" t="s">
        <v>2173</v>
      </c>
      <c r="T341" s="387" t="s">
        <v>1174</v>
      </c>
      <c r="U341" s="385" t="s">
        <v>2174</v>
      </c>
      <c r="V341" s="385" t="s">
        <v>2173</v>
      </c>
      <c r="W341" s="388" t="s">
        <v>3235</v>
      </c>
      <c r="X341" s="324" t="s">
        <v>3364</v>
      </c>
      <c r="Y341" s="324" t="s">
        <v>3401</v>
      </c>
      <c r="Z341" s="322" t="s">
        <v>3386</v>
      </c>
      <c r="AA341" s="392">
        <v>6147</v>
      </c>
    </row>
    <row r="342" spans="17:27" ht="13.8">
      <c r="Q342" s="385">
        <f t="shared" si="5"/>
        <v>336</v>
      </c>
      <c r="R342" s="386" t="s">
        <v>2175</v>
      </c>
      <c r="S342" s="386" t="s">
        <v>2176</v>
      </c>
      <c r="T342" s="387" t="s">
        <v>1435</v>
      </c>
      <c r="U342" s="385" t="s">
        <v>2177</v>
      </c>
      <c r="V342" s="385" t="s">
        <v>3001</v>
      </c>
      <c r="W342" s="386" t="s">
        <v>3001</v>
      </c>
      <c r="X342" s="324" t="s">
        <v>3365</v>
      </c>
      <c r="Y342" s="324" t="s">
        <v>3400</v>
      </c>
      <c r="Z342" s="322" t="s">
        <v>3381</v>
      </c>
      <c r="AA342" s="392">
        <v>3036</v>
      </c>
    </row>
    <row r="343" spans="17:27" ht="13.8">
      <c r="Q343" s="385">
        <f t="shared" si="5"/>
        <v>337</v>
      </c>
      <c r="R343" s="386" t="s">
        <v>2178</v>
      </c>
      <c r="S343" s="386" t="s">
        <v>2179</v>
      </c>
      <c r="T343" s="387" t="s">
        <v>1170</v>
      </c>
      <c r="U343" s="385" t="s">
        <v>2180</v>
      </c>
      <c r="V343" s="385" t="s">
        <v>3002</v>
      </c>
      <c r="W343" s="386" t="s">
        <v>3236</v>
      </c>
      <c r="X343" s="324" t="s">
        <v>3365</v>
      </c>
      <c r="Y343" s="324" t="s">
        <v>3400</v>
      </c>
      <c r="Z343" s="322" t="s">
        <v>3381</v>
      </c>
      <c r="AA343" s="392">
        <v>4869</v>
      </c>
    </row>
    <row r="344" spans="17:27" ht="13.8">
      <c r="Q344" s="385">
        <f t="shared" si="5"/>
        <v>338</v>
      </c>
      <c r="R344" s="386" t="s">
        <v>2181</v>
      </c>
      <c r="S344" s="386" t="s">
        <v>2182</v>
      </c>
      <c r="T344" s="387" t="s">
        <v>1170</v>
      </c>
      <c r="U344" s="385" t="s">
        <v>2183</v>
      </c>
      <c r="V344" s="385" t="s">
        <v>2182</v>
      </c>
      <c r="W344" s="386" t="s">
        <v>3236</v>
      </c>
      <c r="X344" s="324" t="s">
        <v>3364</v>
      </c>
      <c r="Y344" s="324" t="s">
        <v>3401</v>
      </c>
      <c r="Z344" s="322" t="s">
        <v>3386</v>
      </c>
      <c r="AA344" s="392">
        <v>27935</v>
      </c>
    </row>
    <row r="345" spans="17:27" ht="13.8">
      <c r="Q345" s="385">
        <f t="shared" si="5"/>
        <v>339</v>
      </c>
      <c r="R345" s="386" t="s">
        <v>2184</v>
      </c>
      <c r="S345" s="386" t="s">
        <v>2185</v>
      </c>
      <c r="T345" s="387" t="s">
        <v>1318</v>
      </c>
      <c r="U345" s="385" t="s">
        <v>2186</v>
      </c>
      <c r="V345" s="385" t="s">
        <v>3003</v>
      </c>
      <c r="W345" s="386" t="s">
        <v>3003</v>
      </c>
      <c r="X345" s="324" t="s">
        <v>3365</v>
      </c>
      <c r="Y345" s="324" t="s">
        <v>3400</v>
      </c>
      <c r="Z345" s="322" t="s">
        <v>3381</v>
      </c>
      <c r="AA345" s="392">
        <v>3232</v>
      </c>
    </row>
    <row r="346" spans="17:27" ht="13.8">
      <c r="Q346" s="385">
        <f t="shared" si="5"/>
        <v>340</v>
      </c>
      <c r="R346" s="386" t="s">
        <v>2187</v>
      </c>
      <c r="S346" s="388" t="s">
        <v>2188</v>
      </c>
      <c r="T346" s="387" t="s">
        <v>1401</v>
      </c>
      <c r="U346" s="385" t="s">
        <v>2189</v>
      </c>
      <c r="V346" s="385" t="s">
        <v>3328</v>
      </c>
      <c r="W346" s="388" t="s">
        <v>3328</v>
      </c>
      <c r="X346" s="324" t="s">
        <v>3366</v>
      </c>
      <c r="Y346" s="324" t="s">
        <v>3400</v>
      </c>
      <c r="Z346" s="322" t="s">
        <v>3389</v>
      </c>
      <c r="AA346" s="392">
        <v>55181</v>
      </c>
    </row>
    <row r="347" spans="17:27" ht="13.8">
      <c r="Q347" s="385">
        <f t="shared" si="5"/>
        <v>341</v>
      </c>
      <c r="R347" s="386" t="s">
        <v>2190</v>
      </c>
      <c r="S347" s="386" t="s">
        <v>2191</v>
      </c>
      <c r="T347" s="387" t="s">
        <v>1239</v>
      </c>
      <c r="U347" s="385" t="s">
        <v>2192</v>
      </c>
      <c r="V347" s="385" t="s">
        <v>2191</v>
      </c>
      <c r="W347" s="386" t="s">
        <v>3237</v>
      </c>
      <c r="X347" s="324" t="s">
        <v>3364</v>
      </c>
      <c r="Y347" s="324" t="s">
        <v>3401</v>
      </c>
      <c r="Z347" s="322" t="s">
        <v>3386</v>
      </c>
      <c r="AA347" s="392">
        <v>7385</v>
      </c>
    </row>
    <row r="348" spans="17:27" ht="13.8">
      <c r="Q348" s="385">
        <f t="shared" si="5"/>
        <v>342</v>
      </c>
      <c r="R348" s="386" t="s">
        <v>2193</v>
      </c>
      <c r="S348" s="386" t="s">
        <v>2194</v>
      </c>
      <c r="T348" s="387" t="s">
        <v>1178</v>
      </c>
      <c r="U348" s="385" t="s">
        <v>2195</v>
      </c>
      <c r="V348" s="385" t="s">
        <v>3004</v>
      </c>
      <c r="W348" s="386" t="s">
        <v>3004</v>
      </c>
      <c r="X348" s="324" t="s">
        <v>3365</v>
      </c>
      <c r="Y348" s="324" t="s">
        <v>3400</v>
      </c>
      <c r="Z348" s="322" t="s">
        <v>3381</v>
      </c>
      <c r="AA348" s="392">
        <v>16341</v>
      </c>
    </row>
    <row r="349" spans="17:27" ht="13.8">
      <c r="Q349" s="385">
        <f t="shared" si="5"/>
        <v>343</v>
      </c>
      <c r="R349" s="386" t="s">
        <v>2196</v>
      </c>
      <c r="S349" s="386" t="s">
        <v>2197</v>
      </c>
      <c r="T349" s="387" t="s">
        <v>1276</v>
      </c>
      <c r="U349" s="385" t="s">
        <v>2198</v>
      </c>
      <c r="V349" s="385" t="s">
        <v>3005</v>
      </c>
      <c r="W349" s="386" t="s">
        <v>3005</v>
      </c>
      <c r="X349" s="324" t="s">
        <v>3365</v>
      </c>
      <c r="Y349" s="324" t="s">
        <v>3400</v>
      </c>
      <c r="Z349" s="322" t="s">
        <v>3381</v>
      </c>
      <c r="AA349" s="392">
        <v>12171</v>
      </c>
    </row>
    <row r="350" spans="17:27" ht="13.8">
      <c r="Q350" s="385">
        <f t="shared" si="5"/>
        <v>344</v>
      </c>
      <c r="R350" s="386" t="s">
        <v>2199</v>
      </c>
      <c r="S350" s="386" t="s">
        <v>2200</v>
      </c>
      <c r="T350" s="387" t="s">
        <v>1260</v>
      </c>
      <c r="U350" s="385" t="s">
        <v>2201</v>
      </c>
      <c r="V350" s="385" t="s">
        <v>3329</v>
      </c>
      <c r="W350" s="386" t="s">
        <v>3329</v>
      </c>
      <c r="X350" s="324" t="s">
        <v>3366</v>
      </c>
      <c r="Y350" s="324" t="s">
        <v>3400</v>
      </c>
      <c r="Z350" s="322" t="s">
        <v>3388</v>
      </c>
      <c r="AA350" s="392">
        <v>277140</v>
      </c>
    </row>
    <row r="351" spans="17:27" ht="13.8">
      <c r="Q351" s="385">
        <f t="shared" si="5"/>
        <v>345</v>
      </c>
      <c r="R351" s="386" t="s">
        <v>2202</v>
      </c>
      <c r="S351" s="386" t="s">
        <v>2203</v>
      </c>
      <c r="T351" s="387" t="s">
        <v>1435</v>
      </c>
      <c r="U351" s="385" t="s">
        <v>2204</v>
      </c>
      <c r="V351" s="385" t="s">
        <v>3006</v>
      </c>
      <c r="W351" s="386" t="s">
        <v>3006</v>
      </c>
      <c r="X351" s="324" t="s">
        <v>3365</v>
      </c>
      <c r="Y351" s="324" t="s">
        <v>3400</v>
      </c>
      <c r="Z351" s="322" t="s">
        <v>3381</v>
      </c>
      <c r="AA351" s="392">
        <v>1553</v>
      </c>
    </row>
    <row r="352" spans="17:27" ht="13.8">
      <c r="Q352" s="385">
        <f t="shared" si="5"/>
        <v>346</v>
      </c>
      <c r="R352" s="386" t="s">
        <v>2205</v>
      </c>
      <c r="S352" s="386" t="s">
        <v>2206</v>
      </c>
      <c r="T352" s="387" t="s">
        <v>1199</v>
      </c>
      <c r="U352" s="385" t="s">
        <v>2207</v>
      </c>
      <c r="V352" s="385" t="s">
        <v>3354</v>
      </c>
      <c r="W352" s="386" t="s">
        <v>3354</v>
      </c>
      <c r="X352" s="324" t="s">
        <v>2858</v>
      </c>
      <c r="Y352" s="324" t="s">
        <v>3400</v>
      </c>
      <c r="Z352" s="322" t="s">
        <v>3387</v>
      </c>
      <c r="AA352" s="392">
        <v>7997</v>
      </c>
    </row>
    <row r="353" spans="17:27" ht="13.8">
      <c r="Q353" s="385">
        <f t="shared" si="5"/>
        <v>347</v>
      </c>
      <c r="R353" s="386" t="s">
        <v>2208</v>
      </c>
      <c r="S353" s="386" t="s">
        <v>2209</v>
      </c>
      <c r="T353" s="387" t="s">
        <v>1178</v>
      </c>
      <c r="U353" s="385" t="s">
        <v>2210</v>
      </c>
      <c r="V353" s="385" t="s">
        <v>3007</v>
      </c>
      <c r="W353" s="386" t="s">
        <v>3007</v>
      </c>
      <c r="X353" s="324" t="s">
        <v>3365</v>
      </c>
      <c r="Y353" s="324" t="s">
        <v>3400</v>
      </c>
      <c r="Z353" s="322" t="s">
        <v>3381</v>
      </c>
      <c r="AA353" s="392">
        <v>15392</v>
      </c>
    </row>
    <row r="354" spans="17:27" ht="13.8">
      <c r="Q354" s="385">
        <f t="shared" si="5"/>
        <v>348</v>
      </c>
      <c r="R354" s="386" t="s">
        <v>2211</v>
      </c>
      <c r="S354" s="386" t="s">
        <v>2212</v>
      </c>
      <c r="T354" s="387" t="s">
        <v>1246</v>
      </c>
      <c r="U354" s="385" t="s">
        <v>2213</v>
      </c>
      <c r="V354" s="385" t="s">
        <v>2212</v>
      </c>
      <c r="W354" s="386" t="s">
        <v>3238</v>
      </c>
      <c r="X354" s="324" t="s">
        <v>3364</v>
      </c>
      <c r="Y354" s="324" t="s">
        <v>3402</v>
      </c>
      <c r="Z354" s="322" t="s">
        <v>3396</v>
      </c>
      <c r="AA354" s="392">
        <v>60773</v>
      </c>
    </row>
    <row r="355" spans="17:27" ht="13.8">
      <c r="Q355" s="385">
        <f t="shared" si="5"/>
        <v>349</v>
      </c>
      <c r="R355" s="386" t="s">
        <v>2214</v>
      </c>
      <c r="S355" s="386" t="s">
        <v>2215</v>
      </c>
      <c r="T355" s="387" t="s">
        <v>1401</v>
      </c>
      <c r="U355" s="385" t="s">
        <v>2216</v>
      </c>
      <c r="V355" s="385" t="s">
        <v>2215</v>
      </c>
      <c r="W355" s="386" t="s">
        <v>3239</v>
      </c>
      <c r="X355" s="324" t="s">
        <v>3364</v>
      </c>
      <c r="Y355" s="324" t="s">
        <v>3400</v>
      </c>
      <c r="Z355" s="322" t="s">
        <v>3381</v>
      </c>
      <c r="AA355" s="392">
        <v>40742</v>
      </c>
    </row>
    <row r="356" spans="17:27" ht="13.8">
      <c r="Q356" s="385">
        <f t="shared" si="5"/>
        <v>350</v>
      </c>
      <c r="R356" s="386" t="s">
        <v>2217</v>
      </c>
      <c r="S356" s="386" t="s">
        <v>2218</v>
      </c>
      <c r="T356" s="387" t="s">
        <v>1260</v>
      </c>
      <c r="U356" s="385" t="s">
        <v>2219</v>
      </c>
      <c r="V356" s="385" t="s">
        <v>3008</v>
      </c>
      <c r="W356" s="386" t="s">
        <v>3008</v>
      </c>
      <c r="X356" s="324" t="s">
        <v>3365</v>
      </c>
      <c r="Y356" s="324" t="s">
        <v>3402</v>
      </c>
      <c r="Z356" s="322" t="s">
        <v>3396</v>
      </c>
      <c r="AA356" s="392">
        <v>6183</v>
      </c>
    </row>
    <row r="357" spans="17:27" ht="13.8">
      <c r="Q357" s="385">
        <f t="shared" si="5"/>
        <v>351</v>
      </c>
      <c r="R357" s="386" t="s">
        <v>2220</v>
      </c>
      <c r="S357" s="386" t="s">
        <v>2221</v>
      </c>
      <c r="T357" s="387" t="s">
        <v>1308</v>
      </c>
      <c r="U357" s="385" t="s">
        <v>2222</v>
      </c>
      <c r="V357" s="385" t="s">
        <v>3009</v>
      </c>
      <c r="W357" s="386" t="s">
        <v>3009</v>
      </c>
      <c r="X357" s="324" t="s">
        <v>3365</v>
      </c>
      <c r="Y357" s="324" t="s">
        <v>3400</v>
      </c>
      <c r="Z357" s="322" t="s">
        <v>3381</v>
      </c>
      <c r="AA357" s="392">
        <v>8417</v>
      </c>
    </row>
    <row r="358" spans="17:27" ht="13.8">
      <c r="Q358" s="385">
        <f t="shared" si="5"/>
        <v>352</v>
      </c>
      <c r="R358" s="386" t="s">
        <v>2223</v>
      </c>
      <c r="S358" s="386" t="s">
        <v>2224</v>
      </c>
      <c r="T358" s="387" t="s">
        <v>1239</v>
      </c>
      <c r="U358" s="385" t="s">
        <v>2225</v>
      </c>
      <c r="V358" s="385" t="s">
        <v>2224</v>
      </c>
      <c r="W358" s="386" t="s">
        <v>3240</v>
      </c>
      <c r="X358" s="324" t="s">
        <v>3364</v>
      </c>
      <c r="Y358" s="324" t="s">
        <v>3401</v>
      </c>
      <c r="Z358" s="322" t="s">
        <v>3386</v>
      </c>
      <c r="AA358" s="392">
        <v>7678</v>
      </c>
    </row>
    <row r="359" spans="17:27" ht="13.8">
      <c r="Q359" s="385">
        <f t="shared" si="5"/>
        <v>353</v>
      </c>
      <c r="R359" s="386" t="s">
        <v>2226</v>
      </c>
      <c r="S359" s="386" t="s">
        <v>2227</v>
      </c>
      <c r="T359" s="387" t="s">
        <v>1256</v>
      </c>
      <c r="U359" s="385" t="s">
        <v>2228</v>
      </c>
      <c r="V359" s="385" t="s">
        <v>3010</v>
      </c>
      <c r="W359" s="386" t="s">
        <v>3010</v>
      </c>
      <c r="X359" s="324" t="s">
        <v>3365</v>
      </c>
      <c r="Y359" s="324" t="s">
        <v>3400</v>
      </c>
      <c r="Z359" s="322" t="s">
        <v>3382</v>
      </c>
      <c r="AA359" s="392">
        <v>21936</v>
      </c>
    </row>
    <row r="360" spans="17:27" ht="13.8">
      <c r="Q360" s="385">
        <f t="shared" si="5"/>
        <v>354</v>
      </c>
      <c r="R360" s="386" t="s">
        <v>2229</v>
      </c>
      <c r="S360" s="386" t="s">
        <v>2230</v>
      </c>
      <c r="T360" s="387" t="s">
        <v>1222</v>
      </c>
      <c r="U360" s="385" t="s">
        <v>2231</v>
      </c>
      <c r="V360" s="385" t="s">
        <v>3330</v>
      </c>
      <c r="W360" s="386" t="s">
        <v>3330</v>
      </c>
      <c r="X360" s="324" t="s">
        <v>3366</v>
      </c>
      <c r="Y360" s="324" t="s">
        <v>3400</v>
      </c>
      <c r="Z360" s="322" t="s">
        <v>3382</v>
      </c>
      <c r="AA360" s="392">
        <v>4041</v>
      </c>
    </row>
    <row r="361" spans="17:27" ht="13.8">
      <c r="Q361" s="385">
        <f t="shared" si="5"/>
        <v>355</v>
      </c>
      <c r="R361" s="386" t="s">
        <v>2232</v>
      </c>
      <c r="S361" s="386" t="s">
        <v>2233</v>
      </c>
      <c r="T361" s="387" t="s">
        <v>1174</v>
      </c>
      <c r="U361" s="385" t="s">
        <v>2234</v>
      </c>
      <c r="V361" s="385" t="s">
        <v>3331</v>
      </c>
      <c r="W361" s="386" t="s">
        <v>3331</v>
      </c>
      <c r="X361" s="324" t="s">
        <v>3366</v>
      </c>
      <c r="Y361" s="324" t="s">
        <v>3400</v>
      </c>
      <c r="Z361" s="322" t="s">
        <v>3382</v>
      </c>
      <c r="AA361" s="392">
        <v>8624</v>
      </c>
    </row>
    <row r="362" spans="17:27" ht="13.8">
      <c r="Q362" s="385">
        <f t="shared" si="5"/>
        <v>356</v>
      </c>
      <c r="R362" s="386" t="s">
        <v>2235</v>
      </c>
      <c r="S362" s="386" t="s">
        <v>2236</v>
      </c>
      <c r="T362" s="387" t="s">
        <v>1178</v>
      </c>
      <c r="U362" s="385" t="s">
        <v>2237</v>
      </c>
      <c r="V362" s="385" t="s">
        <v>3011</v>
      </c>
      <c r="W362" s="386" t="s">
        <v>3011</v>
      </c>
      <c r="X362" s="324" t="s">
        <v>3365</v>
      </c>
      <c r="Y362" s="324" t="s">
        <v>3400</v>
      </c>
      <c r="Z362" s="322" t="s">
        <v>3381</v>
      </c>
      <c r="AA362" s="392">
        <v>4640</v>
      </c>
    </row>
    <row r="363" spans="17:27" ht="13.8">
      <c r="Q363" s="385">
        <f t="shared" si="5"/>
        <v>357</v>
      </c>
      <c r="R363" s="386" t="s">
        <v>2238</v>
      </c>
      <c r="S363" s="386" t="s">
        <v>2239</v>
      </c>
      <c r="T363" s="387" t="s">
        <v>1178</v>
      </c>
      <c r="U363" s="385" t="s">
        <v>2240</v>
      </c>
      <c r="V363" s="385" t="s">
        <v>3012</v>
      </c>
      <c r="W363" s="386" t="s">
        <v>3012</v>
      </c>
      <c r="X363" s="324" t="s">
        <v>3365</v>
      </c>
      <c r="Y363" s="324" t="s">
        <v>3400</v>
      </c>
      <c r="Z363" s="322" t="s">
        <v>3381</v>
      </c>
      <c r="AA363" s="392">
        <v>5711</v>
      </c>
    </row>
    <row r="364" spans="17:27" ht="13.8">
      <c r="Q364" s="385">
        <f t="shared" si="5"/>
        <v>358</v>
      </c>
      <c r="R364" s="386" t="s">
        <v>2241</v>
      </c>
      <c r="S364" s="386" t="s">
        <v>2242</v>
      </c>
      <c r="T364" s="387" t="s">
        <v>1260</v>
      </c>
      <c r="U364" s="385" t="s">
        <v>2243</v>
      </c>
      <c r="V364" s="385" t="s">
        <v>2242</v>
      </c>
      <c r="W364" s="386" t="s">
        <v>3241</v>
      </c>
      <c r="X364" s="324" t="s">
        <v>3364</v>
      </c>
      <c r="Y364" s="324" t="s">
        <v>3400</v>
      </c>
      <c r="Z364" s="322" t="s">
        <v>3381</v>
      </c>
      <c r="AA364" s="392">
        <v>28370</v>
      </c>
    </row>
    <row r="365" spans="17:27" ht="13.8">
      <c r="Q365" s="385">
        <f t="shared" si="5"/>
        <v>359</v>
      </c>
      <c r="R365" s="386" t="s">
        <v>2244</v>
      </c>
      <c r="S365" s="386" t="s">
        <v>2245</v>
      </c>
      <c r="T365" s="387" t="s">
        <v>1178</v>
      </c>
      <c r="U365" s="385" t="s">
        <v>2246</v>
      </c>
      <c r="V365" s="385" t="s">
        <v>3013</v>
      </c>
      <c r="W365" s="386" t="s">
        <v>3013</v>
      </c>
      <c r="X365" s="324" t="s">
        <v>3365</v>
      </c>
      <c r="Y365" s="324" t="s">
        <v>3400</v>
      </c>
      <c r="Z365" s="322" t="s">
        <v>3381</v>
      </c>
      <c r="AA365" s="392">
        <v>12754</v>
      </c>
    </row>
    <row r="366" spans="17:27" ht="13.8">
      <c r="Q366" s="385">
        <f t="shared" si="5"/>
        <v>360</v>
      </c>
      <c r="R366" s="386" t="s">
        <v>2247</v>
      </c>
      <c r="S366" s="386" t="s">
        <v>2248</v>
      </c>
      <c r="T366" s="387" t="s">
        <v>1215</v>
      </c>
      <c r="U366" s="385" t="s">
        <v>2249</v>
      </c>
      <c r="V366" s="385" t="s">
        <v>3014</v>
      </c>
      <c r="W366" s="386" t="s">
        <v>3014</v>
      </c>
      <c r="X366" s="324" t="s">
        <v>3365</v>
      </c>
      <c r="Y366" s="324" t="s">
        <v>3400</v>
      </c>
      <c r="Z366" s="322" t="s">
        <v>3381</v>
      </c>
      <c r="AA366" s="392">
        <v>4038</v>
      </c>
    </row>
    <row r="367" spans="17:27" ht="13.8">
      <c r="Q367" s="385">
        <f t="shared" si="5"/>
        <v>361</v>
      </c>
      <c r="R367" s="386" t="s">
        <v>2250</v>
      </c>
      <c r="S367" s="386" t="s">
        <v>2251</v>
      </c>
      <c r="T367" s="387" t="s">
        <v>1222</v>
      </c>
      <c r="U367" s="385" t="s">
        <v>2252</v>
      </c>
      <c r="V367" s="385" t="s">
        <v>3362</v>
      </c>
      <c r="W367" s="386" t="s">
        <v>3362</v>
      </c>
      <c r="X367" s="324" t="s">
        <v>3366</v>
      </c>
      <c r="Y367" s="324" t="s">
        <v>3400</v>
      </c>
      <c r="Z367" s="322" t="s">
        <v>3382</v>
      </c>
      <c r="AA367" s="392">
        <v>11701</v>
      </c>
    </row>
    <row r="368" spans="17:27" ht="13.8">
      <c r="Q368" s="385">
        <f t="shared" si="5"/>
        <v>362</v>
      </c>
      <c r="R368" s="386" t="s">
        <v>2253</v>
      </c>
      <c r="S368" s="386" t="s">
        <v>2254</v>
      </c>
      <c r="T368" s="387" t="s">
        <v>1229</v>
      </c>
      <c r="U368" s="385" t="s">
        <v>2255</v>
      </c>
      <c r="V368" s="385" t="s">
        <v>3015</v>
      </c>
      <c r="W368" s="386" t="s">
        <v>3015</v>
      </c>
      <c r="X368" s="324" t="s">
        <v>3365</v>
      </c>
      <c r="Y368" s="324" t="s">
        <v>3400</v>
      </c>
      <c r="Z368" s="322" t="s">
        <v>3381</v>
      </c>
      <c r="AA368" s="392">
        <v>2011</v>
      </c>
    </row>
    <row r="369" spans="17:27" ht="13.8">
      <c r="Q369" s="385">
        <f t="shared" si="5"/>
        <v>363</v>
      </c>
      <c r="R369" s="386" t="s">
        <v>2256</v>
      </c>
      <c r="S369" s="386" t="s">
        <v>2257</v>
      </c>
      <c r="T369" s="387" t="s">
        <v>1170</v>
      </c>
      <c r="U369" s="385" t="s">
        <v>2258</v>
      </c>
      <c r="V369" s="385" t="s">
        <v>2257</v>
      </c>
      <c r="W369" s="386" t="s">
        <v>1229</v>
      </c>
      <c r="X369" s="324" t="s">
        <v>3364</v>
      </c>
      <c r="Y369" s="324" t="s">
        <v>3400</v>
      </c>
      <c r="Z369" s="322" t="s">
        <v>3381</v>
      </c>
      <c r="AA369" s="392">
        <v>27291</v>
      </c>
    </row>
    <row r="370" spans="17:27" ht="13.8">
      <c r="Q370" s="385">
        <f t="shared" si="5"/>
        <v>364</v>
      </c>
      <c r="R370" s="386" t="s">
        <v>2259</v>
      </c>
      <c r="S370" s="386" t="s">
        <v>2257</v>
      </c>
      <c r="T370" s="387" t="s">
        <v>1229</v>
      </c>
      <c r="U370" s="385" t="s">
        <v>2260</v>
      </c>
      <c r="V370" s="385" t="s">
        <v>2257</v>
      </c>
      <c r="W370" s="386" t="s">
        <v>1229</v>
      </c>
      <c r="X370" s="324" t="s">
        <v>3364</v>
      </c>
      <c r="Y370" s="324" t="s">
        <v>3401</v>
      </c>
      <c r="Z370" s="322" t="s">
        <v>3383</v>
      </c>
      <c r="AA370" s="392">
        <v>8332</v>
      </c>
    </row>
    <row r="371" spans="17:27" ht="13.8">
      <c r="Q371" s="385">
        <f t="shared" si="5"/>
        <v>365</v>
      </c>
      <c r="R371" s="386" t="s">
        <v>2261</v>
      </c>
      <c r="S371" s="386" t="s">
        <v>2262</v>
      </c>
      <c r="T371" s="387" t="s">
        <v>1170</v>
      </c>
      <c r="U371" s="385" t="s">
        <v>2263</v>
      </c>
      <c r="V371" s="385" t="s">
        <v>3016</v>
      </c>
      <c r="W371" s="386" t="s">
        <v>3016</v>
      </c>
      <c r="X371" s="324" t="s">
        <v>3365</v>
      </c>
      <c r="Y371" s="324" t="s">
        <v>3400</v>
      </c>
      <c r="Z371" s="322" t="s">
        <v>3387</v>
      </c>
      <c r="AA371" s="392">
        <v>5832</v>
      </c>
    </row>
    <row r="372" spans="17:27" ht="13.8">
      <c r="Q372" s="385">
        <f t="shared" si="5"/>
        <v>366</v>
      </c>
      <c r="R372" s="386" t="s">
        <v>2264</v>
      </c>
      <c r="S372" s="386" t="s">
        <v>2265</v>
      </c>
      <c r="T372" s="387" t="s">
        <v>1199</v>
      </c>
      <c r="U372" s="385" t="s">
        <v>2266</v>
      </c>
      <c r="V372" s="385" t="s">
        <v>3017</v>
      </c>
      <c r="W372" s="386" t="s">
        <v>3017</v>
      </c>
      <c r="X372" s="324" t="s">
        <v>3365</v>
      </c>
      <c r="Y372" s="324" t="s">
        <v>3400</v>
      </c>
      <c r="Z372" s="322" t="s">
        <v>3381</v>
      </c>
      <c r="AA372" s="392">
        <v>2410</v>
      </c>
    </row>
    <row r="373" spans="17:27" ht="13.8">
      <c r="Q373" s="385">
        <f t="shared" si="5"/>
        <v>367</v>
      </c>
      <c r="R373" s="389" t="s">
        <v>2267</v>
      </c>
      <c r="S373" s="389" t="s">
        <v>2268</v>
      </c>
      <c r="T373" s="387" t="s">
        <v>1401</v>
      </c>
      <c r="U373" s="385" t="s">
        <v>2269</v>
      </c>
      <c r="V373" s="385" t="s">
        <v>2268</v>
      </c>
      <c r="W373" s="389" t="s">
        <v>3242</v>
      </c>
      <c r="X373" s="324" t="s">
        <v>3364</v>
      </c>
      <c r="Y373" s="324" t="s">
        <v>3400</v>
      </c>
      <c r="Z373" s="322" t="s">
        <v>3388</v>
      </c>
      <c r="AA373" s="392">
        <v>65375</v>
      </c>
    </row>
    <row r="374" spans="17:27" ht="13.8">
      <c r="Q374" s="385">
        <f t="shared" si="5"/>
        <v>368</v>
      </c>
      <c r="R374" s="386" t="s">
        <v>2270</v>
      </c>
      <c r="S374" s="386" t="s">
        <v>2271</v>
      </c>
      <c r="T374" s="387" t="s">
        <v>1178</v>
      </c>
      <c r="U374" s="385" t="s">
        <v>2272</v>
      </c>
      <c r="V374" s="385" t="s">
        <v>3018</v>
      </c>
      <c r="W374" s="386" t="s">
        <v>3018</v>
      </c>
      <c r="X374" s="324" t="s">
        <v>3365</v>
      </c>
      <c r="Y374" s="324" t="s">
        <v>3400</v>
      </c>
      <c r="Z374" s="322" t="s">
        <v>3381</v>
      </c>
      <c r="AA374" s="392">
        <v>5750</v>
      </c>
    </row>
    <row r="375" spans="17:27" ht="13.8">
      <c r="Q375" s="385">
        <f t="shared" si="5"/>
        <v>369</v>
      </c>
      <c r="R375" s="386" t="s">
        <v>2273</v>
      </c>
      <c r="S375" s="386" t="s">
        <v>2274</v>
      </c>
      <c r="T375" s="387" t="s">
        <v>1188</v>
      </c>
      <c r="U375" s="385" t="s">
        <v>2275</v>
      </c>
      <c r="V375" s="385" t="s">
        <v>2274</v>
      </c>
      <c r="W375" s="386" t="s">
        <v>3243</v>
      </c>
      <c r="X375" s="324" t="s">
        <v>3364</v>
      </c>
      <c r="Y375" s="324" t="s">
        <v>3401</v>
      </c>
      <c r="Z375" s="322" t="s">
        <v>3383</v>
      </c>
      <c r="AA375" s="392">
        <v>1773</v>
      </c>
    </row>
    <row r="376" spans="17:27" ht="13.8">
      <c r="Q376" s="385">
        <f t="shared" si="5"/>
        <v>370</v>
      </c>
      <c r="R376" s="386" t="s">
        <v>2276</v>
      </c>
      <c r="S376" s="386" t="s">
        <v>2277</v>
      </c>
      <c r="T376" s="387" t="s">
        <v>1178</v>
      </c>
      <c r="U376" s="385" t="s">
        <v>2278</v>
      </c>
      <c r="V376" s="385" t="s">
        <v>3019</v>
      </c>
      <c r="W376" s="386" t="s">
        <v>3019</v>
      </c>
      <c r="X376" s="324" t="s">
        <v>3365</v>
      </c>
      <c r="Y376" s="324" t="s">
        <v>3400</v>
      </c>
      <c r="Z376" s="322" t="s">
        <v>3381</v>
      </c>
      <c r="AA376" s="392">
        <v>7978</v>
      </c>
    </row>
    <row r="377" spans="17:27" ht="13.8">
      <c r="Q377" s="385">
        <f t="shared" si="5"/>
        <v>371</v>
      </c>
      <c r="R377" s="386" t="s">
        <v>2279</v>
      </c>
      <c r="S377" s="386" t="s">
        <v>2280</v>
      </c>
      <c r="T377" s="387" t="s">
        <v>1260</v>
      </c>
      <c r="U377" s="385" t="s">
        <v>2281</v>
      </c>
      <c r="V377" s="385" t="s">
        <v>3332</v>
      </c>
      <c r="W377" s="386" t="s">
        <v>3347</v>
      </c>
      <c r="X377" s="324" t="s">
        <v>3366</v>
      </c>
      <c r="Y377" s="324" t="s">
        <v>3400</v>
      </c>
      <c r="Z377" s="322" t="s">
        <v>3382</v>
      </c>
      <c r="AA377" s="392">
        <v>30134</v>
      </c>
    </row>
    <row r="378" spans="17:27" ht="13.8">
      <c r="Q378" s="385">
        <f t="shared" si="5"/>
        <v>372</v>
      </c>
      <c r="R378" s="386" t="s">
        <v>2282</v>
      </c>
      <c r="S378" s="386" t="s">
        <v>2283</v>
      </c>
      <c r="T378" s="387" t="s">
        <v>1192</v>
      </c>
      <c r="U378" s="385" t="s">
        <v>2284</v>
      </c>
      <c r="V378" s="385" t="s">
        <v>2283</v>
      </c>
      <c r="W378" s="386" t="s">
        <v>3244</v>
      </c>
      <c r="X378" s="324" t="s">
        <v>3364</v>
      </c>
      <c r="Y378" s="324" t="s">
        <v>3401</v>
      </c>
      <c r="Z378" s="322" t="s">
        <v>3383</v>
      </c>
      <c r="AA378" s="392">
        <v>2514</v>
      </c>
    </row>
    <row r="379" spans="17:27" ht="13.8">
      <c r="Q379" s="385">
        <f t="shared" si="5"/>
        <v>373</v>
      </c>
      <c r="R379" s="386" t="s">
        <v>2285</v>
      </c>
      <c r="S379" s="386" t="s">
        <v>2286</v>
      </c>
      <c r="T379" s="387" t="s">
        <v>1178</v>
      </c>
      <c r="U379" s="385" t="s">
        <v>2287</v>
      </c>
      <c r="V379" s="385" t="s">
        <v>3020</v>
      </c>
      <c r="W379" s="386" t="s">
        <v>3020</v>
      </c>
      <c r="X379" s="324" t="s">
        <v>3365</v>
      </c>
      <c r="Y379" s="324" t="s">
        <v>3400</v>
      </c>
      <c r="Z379" s="322" t="s">
        <v>3381</v>
      </c>
      <c r="AA379" s="392">
        <v>19622</v>
      </c>
    </row>
    <row r="380" spans="17:27" ht="13.8">
      <c r="Q380" s="385">
        <f t="shared" si="5"/>
        <v>374</v>
      </c>
      <c r="R380" s="386" t="s">
        <v>2288</v>
      </c>
      <c r="S380" s="386" t="s">
        <v>2289</v>
      </c>
      <c r="T380" s="387" t="s">
        <v>1239</v>
      </c>
      <c r="U380" s="385" t="s">
        <v>2290</v>
      </c>
      <c r="V380" s="385" t="s">
        <v>3021</v>
      </c>
      <c r="W380" s="386" t="s">
        <v>3021</v>
      </c>
      <c r="X380" s="324" t="s">
        <v>3365</v>
      </c>
      <c r="Y380" s="324" t="s">
        <v>3400</v>
      </c>
      <c r="Z380" s="322" t="s">
        <v>3381</v>
      </c>
      <c r="AA380" s="392">
        <v>7398</v>
      </c>
    </row>
    <row r="381" spans="17:27" ht="13.8">
      <c r="Q381" s="385">
        <f t="shared" si="5"/>
        <v>375</v>
      </c>
      <c r="R381" s="386" t="s">
        <v>2291</v>
      </c>
      <c r="S381" s="386" t="s">
        <v>2292</v>
      </c>
      <c r="T381" s="387" t="s">
        <v>1178</v>
      </c>
      <c r="U381" s="385" t="s">
        <v>2293</v>
      </c>
      <c r="V381" s="385" t="s">
        <v>3022</v>
      </c>
      <c r="W381" s="386" t="s">
        <v>3022</v>
      </c>
      <c r="X381" s="324" t="s">
        <v>3365</v>
      </c>
      <c r="Y381" s="324" t="s">
        <v>3400</v>
      </c>
      <c r="Z381" s="322" t="s">
        <v>3381</v>
      </c>
      <c r="AA381" s="392">
        <v>26342</v>
      </c>
    </row>
    <row r="382" spans="17:27" ht="13.8">
      <c r="Q382" s="385">
        <f t="shared" si="5"/>
        <v>376</v>
      </c>
      <c r="R382" s="386" t="s">
        <v>2294</v>
      </c>
      <c r="S382" s="386" t="s">
        <v>2295</v>
      </c>
      <c r="T382" s="387" t="s">
        <v>1178</v>
      </c>
      <c r="U382" s="385" t="s">
        <v>2296</v>
      </c>
      <c r="V382" s="385" t="s">
        <v>3023</v>
      </c>
      <c r="W382" s="386" t="s">
        <v>3023</v>
      </c>
      <c r="X382" s="324" t="s">
        <v>3365</v>
      </c>
      <c r="Y382" s="324" t="s">
        <v>3400</v>
      </c>
      <c r="Z382" s="322" t="s">
        <v>3381</v>
      </c>
      <c r="AA382" s="392">
        <v>8645</v>
      </c>
    </row>
    <row r="383" spans="17:27" ht="13.8">
      <c r="Q383" s="385">
        <f t="shared" si="5"/>
        <v>377</v>
      </c>
      <c r="R383" s="386" t="s">
        <v>2297</v>
      </c>
      <c r="S383" s="386" t="s">
        <v>2298</v>
      </c>
      <c r="T383" s="387" t="s">
        <v>1318</v>
      </c>
      <c r="U383" s="385" t="s">
        <v>2299</v>
      </c>
      <c r="V383" s="385" t="s">
        <v>2298</v>
      </c>
      <c r="W383" s="386" t="s">
        <v>3245</v>
      </c>
      <c r="X383" s="324" t="s">
        <v>3364</v>
      </c>
      <c r="Y383" s="324" t="s">
        <v>3400</v>
      </c>
      <c r="Z383" s="322" t="s">
        <v>3389</v>
      </c>
      <c r="AA383" s="392">
        <v>53238</v>
      </c>
    </row>
    <row r="384" spans="17:27" ht="13.8">
      <c r="Q384" s="385">
        <f t="shared" si="5"/>
        <v>378</v>
      </c>
      <c r="R384" s="386" t="s">
        <v>2300</v>
      </c>
      <c r="S384" s="386" t="s">
        <v>2301</v>
      </c>
      <c r="T384" s="387" t="s">
        <v>1308</v>
      </c>
      <c r="U384" s="385" t="s">
        <v>2302</v>
      </c>
      <c r="V384" s="385" t="s">
        <v>1308</v>
      </c>
      <c r="W384" s="386" t="s">
        <v>1308</v>
      </c>
      <c r="X384" s="324" t="s">
        <v>3366</v>
      </c>
      <c r="Y384" s="324" t="s">
        <v>3400</v>
      </c>
      <c r="Z384" s="322" t="s">
        <v>3382</v>
      </c>
      <c r="AA384" s="392">
        <v>69781</v>
      </c>
    </row>
    <row r="385" spans="17:27" ht="13.8">
      <c r="Q385" s="385">
        <f t="shared" si="5"/>
        <v>379</v>
      </c>
      <c r="R385" s="386" t="s">
        <v>2303</v>
      </c>
      <c r="S385" s="386" t="s">
        <v>2304</v>
      </c>
      <c r="T385" s="387" t="s">
        <v>1308</v>
      </c>
      <c r="U385" s="385" t="s">
        <v>2305</v>
      </c>
      <c r="V385" s="385" t="s">
        <v>3333</v>
      </c>
      <c r="W385" s="386" t="s">
        <v>3333</v>
      </c>
      <c r="X385" s="324" t="s">
        <v>3366</v>
      </c>
      <c r="Y385" s="324" t="s">
        <v>3400</v>
      </c>
      <c r="Z385" s="322" t="s">
        <v>3388</v>
      </c>
      <c r="AA385" s="392">
        <v>146199</v>
      </c>
    </row>
    <row r="386" spans="17:27" ht="13.8">
      <c r="Q386" s="385">
        <f t="shared" si="5"/>
        <v>380</v>
      </c>
      <c r="R386" s="386" t="s">
        <v>2306</v>
      </c>
      <c r="S386" s="386" t="s">
        <v>2307</v>
      </c>
      <c r="T386" s="387" t="s">
        <v>1435</v>
      </c>
      <c r="U386" s="385" t="s">
        <v>2308</v>
      </c>
      <c r="V386" s="385" t="s">
        <v>3024</v>
      </c>
      <c r="W386" s="386" t="s">
        <v>3024</v>
      </c>
      <c r="X386" s="324" t="s">
        <v>3365</v>
      </c>
      <c r="Y386" s="324" t="s">
        <v>3400</v>
      </c>
      <c r="Z386" s="322" t="s">
        <v>3381</v>
      </c>
      <c r="AA386" s="392">
        <v>6097</v>
      </c>
    </row>
    <row r="387" spans="17:27" ht="13.8">
      <c r="Q387" s="385">
        <f t="shared" si="5"/>
        <v>381</v>
      </c>
      <c r="R387" s="386" t="s">
        <v>2309</v>
      </c>
      <c r="S387" s="386" t="s">
        <v>2310</v>
      </c>
      <c r="T387" s="387" t="s">
        <v>1256</v>
      </c>
      <c r="U387" s="385" t="s">
        <v>2311</v>
      </c>
      <c r="V387" s="385" t="s">
        <v>3025</v>
      </c>
      <c r="W387" s="386" t="s">
        <v>3025</v>
      </c>
      <c r="X387" s="324" t="s">
        <v>3365</v>
      </c>
      <c r="Y387" s="324" t="s">
        <v>3400</v>
      </c>
      <c r="Z387" s="322" t="s">
        <v>3381</v>
      </c>
      <c r="AA387" s="392">
        <v>2582</v>
      </c>
    </row>
    <row r="388" spans="17:27" ht="13.8">
      <c r="Q388" s="385">
        <f t="shared" si="5"/>
        <v>382</v>
      </c>
      <c r="R388" s="386" t="s">
        <v>2312</v>
      </c>
      <c r="S388" s="386" t="s">
        <v>2313</v>
      </c>
      <c r="T388" s="387" t="s">
        <v>1239</v>
      </c>
      <c r="U388" s="385" t="s">
        <v>2314</v>
      </c>
      <c r="V388" s="385" t="s">
        <v>3026</v>
      </c>
      <c r="W388" s="386" t="s">
        <v>3026</v>
      </c>
      <c r="X388" s="324" t="s">
        <v>3365</v>
      </c>
      <c r="Y388" s="324" t="s">
        <v>3400</v>
      </c>
      <c r="Z388" s="322" t="s">
        <v>3381</v>
      </c>
      <c r="AA388" s="392">
        <v>1409</v>
      </c>
    </row>
    <row r="389" spans="17:27" ht="13.8">
      <c r="Q389" s="385">
        <f t="shared" si="5"/>
        <v>383</v>
      </c>
      <c r="R389" s="386" t="s">
        <v>2315</v>
      </c>
      <c r="S389" s="386" t="s">
        <v>2316</v>
      </c>
      <c r="T389" s="387" t="s">
        <v>1239</v>
      </c>
      <c r="U389" s="385" t="s">
        <v>2317</v>
      </c>
      <c r="V389" s="385" t="s">
        <v>2316</v>
      </c>
      <c r="W389" s="386" t="s">
        <v>3026</v>
      </c>
      <c r="X389" s="324" t="s">
        <v>3364</v>
      </c>
      <c r="Y389" s="324" t="s">
        <v>3400</v>
      </c>
      <c r="Z389" s="322" t="s">
        <v>3389</v>
      </c>
      <c r="AA389" s="392">
        <v>27912</v>
      </c>
    </row>
    <row r="390" spans="17:27" ht="13.8">
      <c r="Q390" s="385">
        <f t="shared" si="5"/>
        <v>384</v>
      </c>
      <c r="R390" s="386" t="s">
        <v>2318</v>
      </c>
      <c r="S390" s="386" t="s">
        <v>2319</v>
      </c>
      <c r="T390" s="387" t="s">
        <v>1541</v>
      </c>
      <c r="U390" s="385" t="s">
        <v>2320</v>
      </c>
      <c r="V390" s="385" t="s">
        <v>3027</v>
      </c>
      <c r="W390" s="386" t="s">
        <v>3027</v>
      </c>
      <c r="X390" s="324" t="s">
        <v>3365</v>
      </c>
      <c r="Y390" s="324" t="s">
        <v>3400</v>
      </c>
      <c r="Z390" s="322" t="s">
        <v>3381</v>
      </c>
      <c r="AA390" s="392">
        <v>2585</v>
      </c>
    </row>
    <row r="391" spans="17:27" ht="13.8">
      <c r="Q391" s="385">
        <f t="shared" si="5"/>
        <v>385</v>
      </c>
      <c r="R391" s="386" t="s">
        <v>2321</v>
      </c>
      <c r="S391" s="386" t="s">
        <v>2322</v>
      </c>
      <c r="T391" s="387" t="s">
        <v>1188</v>
      </c>
      <c r="U391" s="385" t="s">
        <v>2323</v>
      </c>
      <c r="V391" s="385" t="s">
        <v>3028</v>
      </c>
      <c r="W391" s="386" t="s">
        <v>3028</v>
      </c>
      <c r="X391" s="324" t="s">
        <v>3365</v>
      </c>
      <c r="Y391" s="324" t="s">
        <v>3400</v>
      </c>
      <c r="Z391" s="322" t="s">
        <v>3381</v>
      </c>
      <c r="AA391" s="392">
        <v>5147</v>
      </c>
    </row>
    <row r="392" spans="17:27" ht="13.8">
      <c r="Q392" s="385">
        <f t="shared" si="5"/>
        <v>386</v>
      </c>
      <c r="R392" s="386" t="s">
        <v>2324</v>
      </c>
      <c r="S392" s="386" t="s">
        <v>2325</v>
      </c>
      <c r="T392" s="387" t="s">
        <v>1215</v>
      </c>
      <c r="U392" s="385" t="s">
        <v>2326</v>
      </c>
      <c r="V392" s="385" t="s">
        <v>2325</v>
      </c>
      <c r="W392" s="386" t="s">
        <v>3246</v>
      </c>
      <c r="X392" s="324" t="s">
        <v>3364</v>
      </c>
      <c r="Y392" s="324" t="s">
        <v>3401</v>
      </c>
      <c r="Z392" s="322" t="s">
        <v>3386</v>
      </c>
      <c r="AA392" s="392">
        <v>35885</v>
      </c>
    </row>
    <row r="393" spans="17:27" ht="13.8">
      <c r="Q393" s="385">
        <f t="shared" ref="Q393:Q456" si="6">Q392+1</f>
        <v>387</v>
      </c>
      <c r="R393" s="386" t="s">
        <v>2327</v>
      </c>
      <c r="S393" s="386" t="s">
        <v>2328</v>
      </c>
      <c r="T393" s="387" t="s">
        <v>1188</v>
      </c>
      <c r="U393" s="385" t="s">
        <v>2329</v>
      </c>
      <c r="V393" s="385" t="s">
        <v>2328</v>
      </c>
      <c r="W393" s="386" t="s">
        <v>3247</v>
      </c>
      <c r="X393" s="324" t="s">
        <v>3364</v>
      </c>
      <c r="Y393" s="324" t="s">
        <v>3401</v>
      </c>
      <c r="Z393" s="322" t="s">
        <v>3386</v>
      </c>
      <c r="AA393" s="392">
        <v>13409</v>
      </c>
    </row>
    <row r="394" spans="17:27" ht="13.8">
      <c r="Q394" s="385">
        <f t="shared" si="6"/>
        <v>388</v>
      </c>
      <c r="R394" s="386" t="s">
        <v>2330</v>
      </c>
      <c r="S394" s="386" t="s">
        <v>2331</v>
      </c>
      <c r="T394" s="387" t="s">
        <v>1318</v>
      </c>
      <c r="U394" s="385" t="s">
        <v>2332</v>
      </c>
      <c r="V394" s="385" t="s">
        <v>2331</v>
      </c>
      <c r="W394" s="386" t="s">
        <v>3248</v>
      </c>
      <c r="X394" s="324" t="s">
        <v>3364</v>
      </c>
      <c r="Y394" s="324" t="s">
        <v>3400</v>
      </c>
      <c r="Z394" s="322" t="s">
        <v>3387</v>
      </c>
      <c r="AA394" s="392">
        <v>15540</v>
      </c>
    </row>
    <row r="395" spans="17:27" ht="13.8">
      <c r="Q395" s="385">
        <f t="shared" si="6"/>
        <v>389</v>
      </c>
      <c r="R395" s="386" t="s">
        <v>2333</v>
      </c>
      <c r="S395" s="386" t="s">
        <v>2334</v>
      </c>
      <c r="T395" s="387" t="s">
        <v>1401</v>
      </c>
      <c r="U395" s="385" t="s">
        <v>2335</v>
      </c>
      <c r="V395" s="385" t="s">
        <v>3334</v>
      </c>
      <c r="W395" s="386" t="s">
        <v>3334</v>
      </c>
      <c r="X395" s="324" t="s">
        <v>3366</v>
      </c>
      <c r="Y395" s="324" t="s">
        <v>3400</v>
      </c>
      <c r="Z395" s="322" t="s">
        <v>3389</v>
      </c>
      <c r="AA395" s="392">
        <v>50814</v>
      </c>
    </row>
    <row r="396" spans="17:27" ht="13.8">
      <c r="Q396" s="385">
        <f t="shared" si="6"/>
        <v>390</v>
      </c>
      <c r="R396" s="386" t="s">
        <v>2336</v>
      </c>
      <c r="S396" s="386" t="s">
        <v>2337</v>
      </c>
      <c r="T396" s="387" t="s">
        <v>1192</v>
      </c>
      <c r="U396" s="385" t="s">
        <v>2338</v>
      </c>
      <c r="V396" s="385" t="s">
        <v>3355</v>
      </c>
      <c r="W396" s="386" t="s">
        <v>3355</v>
      </c>
      <c r="X396" s="324" t="s">
        <v>2858</v>
      </c>
      <c r="Y396" s="324" t="s">
        <v>3400</v>
      </c>
      <c r="Z396" s="322" t="s">
        <v>3389</v>
      </c>
      <c r="AA396" s="392">
        <v>14950</v>
      </c>
    </row>
    <row r="397" spans="17:27" ht="13.8">
      <c r="Q397" s="385">
        <f t="shared" si="6"/>
        <v>391</v>
      </c>
      <c r="R397" s="386" t="s">
        <v>2339</v>
      </c>
      <c r="S397" s="386" t="s">
        <v>2340</v>
      </c>
      <c r="T397" s="387" t="s">
        <v>1188</v>
      </c>
      <c r="U397" s="385" t="s">
        <v>2341</v>
      </c>
      <c r="V397" s="385" t="s">
        <v>2340</v>
      </c>
      <c r="W397" s="386" t="s">
        <v>3249</v>
      </c>
      <c r="X397" s="324" t="s">
        <v>3364</v>
      </c>
      <c r="Y397" s="324" t="s">
        <v>3401</v>
      </c>
      <c r="Z397" s="322" t="s">
        <v>3383</v>
      </c>
      <c r="AA397" s="392">
        <v>4016</v>
      </c>
    </row>
    <row r="398" spans="17:27" ht="13.8">
      <c r="Q398" s="385">
        <f t="shared" si="6"/>
        <v>392</v>
      </c>
      <c r="R398" s="386" t="s">
        <v>2342</v>
      </c>
      <c r="S398" s="386" t="s">
        <v>2343</v>
      </c>
      <c r="T398" s="387" t="s">
        <v>1229</v>
      </c>
      <c r="U398" s="385" t="s">
        <v>2344</v>
      </c>
      <c r="V398" s="385" t="s">
        <v>3029</v>
      </c>
      <c r="W398" s="386" t="s">
        <v>3029</v>
      </c>
      <c r="X398" s="324" t="s">
        <v>3365</v>
      </c>
      <c r="Y398" s="324" t="s">
        <v>3400</v>
      </c>
      <c r="Z398" s="322" t="s">
        <v>3381</v>
      </c>
      <c r="AA398" s="392">
        <v>2127</v>
      </c>
    </row>
    <row r="399" spans="17:27" ht="13.8">
      <c r="Q399" s="385">
        <f t="shared" si="6"/>
        <v>393</v>
      </c>
      <c r="R399" s="386" t="s">
        <v>2345</v>
      </c>
      <c r="S399" s="386" t="s">
        <v>2346</v>
      </c>
      <c r="T399" s="387" t="s">
        <v>1215</v>
      </c>
      <c r="U399" s="385" t="s">
        <v>2347</v>
      </c>
      <c r="V399" s="385" t="s">
        <v>3030</v>
      </c>
      <c r="W399" s="386" t="s">
        <v>3030</v>
      </c>
      <c r="X399" s="324" t="s">
        <v>3365</v>
      </c>
      <c r="Y399" s="324" t="s">
        <v>3400</v>
      </c>
      <c r="Z399" s="322" t="s">
        <v>3381</v>
      </c>
      <c r="AA399" s="392">
        <v>10233</v>
      </c>
    </row>
    <row r="400" spans="17:27" ht="13.8">
      <c r="Q400" s="385">
        <f t="shared" si="6"/>
        <v>394</v>
      </c>
      <c r="R400" s="386" t="s">
        <v>2348</v>
      </c>
      <c r="S400" s="386" t="s">
        <v>2349</v>
      </c>
      <c r="T400" s="387" t="s">
        <v>1215</v>
      </c>
      <c r="U400" s="385" t="s">
        <v>2350</v>
      </c>
      <c r="V400" s="385" t="s">
        <v>3031</v>
      </c>
      <c r="W400" s="386" t="s">
        <v>3031</v>
      </c>
      <c r="X400" s="324" t="s">
        <v>3365</v>
      </c>
      <c r="Y400" s="324" t="s">
        <v>3402</v>
      </c>
      <c r="Z400" s="322" t="s">
        <v>3385</v>
      </c>
      <c r="AA400" s="392">
        <v>12</v>
      </c>
    </row>
    <row r="401" spans="17:27" ht="13.8">
      <c r="Q401" s="385">
        <f t="shared" si="6"/>
        <v>395</v>
      </c>
      <c r="R401" s="386" t="s">
        <v>2351</v>
      </c>
      <c r="S401" s="386" t="s">
        <v>2352</v>
      </c>
      <c r="T401" s="387" t="s">
        <v>1401</v>
      </c>
      <c r="U401" s="385" t="s">
        <v>2353</v>
      </c>
      <c r="V401" s="385" t="s">
        <v>2352</v>
      </c>
      <c r="W401" s="386" t="s">
        <v>3250</v>
      </c>
      <c r="X401" s="324" t="s">
        <v>3364</v>
      </c>
      <c r="Y401" s="324" t="s">
        <v>3400</v>
      </c>
      <c r="Z401" s="322" t="s">
        <v>3382</v>
      </c>
      <c r="AA401" s="392">
        <v>56044</v>
      </c>
    </row>
    <row r="402" spans="17:27" ht="13.8">
      <c r="Q402" s="385">
        <f t="shared" si="6"/>
        <v>396</v>
      </c>
      <c r="R402" s="386" t="s">
        <v>2354</v>
      </c>
      <c r="S402" s="386" t="s">
        <v>2355</v>
      </c>
      <c r="T402" s="387" t="s">
        <v>1435</v>
      </c>
      <c r="U402" s="385" t="s">
        <v>2356</v>
      </c>
      <c r="V402" s="385" t="s">
        <v>3032</v>
      </c>
      <c r="W402" s="386" t="s">
        <v>3032</v>
      </c>
      <c r="X402" s="324" t="s">
        <v>3365</v>
      </c>
      <c r="Y402" s="324" t="s">
        <v>3400</v>
      </c>
      <c r="Z402" s="322" t="s">
        <v>3381</v>
      </c>
      <c r="AA402" s="392">
        <v>9011</v>
      </c>
    </row>
    <row r="403" spans="17:27" ht="13.8">
      <c r="Q403" s="385">
        <f t="shared" si="6"/>
        <v>397</v>
      </c>
      <c r="R403" s="386" t="s">
        <v>2357</v>
      </c>
      <c r="S403" s="386" t="s">
        <v>2358</v>
      </c>
      <c r="T403" s="387" t="s">
        <v>1188</v>
      </c>
      <c r="U403" s="385" t="s">
        <v>2359</v>
      </c>
      <c r="V403" s="385" t="s">
        <v>2358</v>
      </c>
      <c r="W403" s="386" t="s">
        <v>3251</v>
      </c>
      <c r="X403" s="324" t="s">
        <v>3364</v>
      </c>
      <c r="Y403" s="324" t="s">
        <v>3401</v>
      </c>
      <c r="Z403" s="322" t="s">
        <v>3386</v>
      </c>
      <c r="AA403" s="392">
        <v>9393</v>
      </c>
    </row>
    <row r="404" spans="17:27" ht="13.8">
      <c r="Q404" s="385">
        <f t="shared" si="6"/>
        <v>398</v>
      </c>
      <c r="R404" s="386" t="s">
        <v>2360</v>
      </c>
      <c r="S404" s="386" t="s">
        <v>2361</v>
      </c>
      <c r="T404" s="387" t="s">
        <v>1276</v>
      </c>
      <c r="U404" s="385" t="s">
        <v>2362</v>
      </c>
      <c r="V404" s="385" t="s">
        <v>3335</v>
      </c>
      <c r="W404" s="386" t="s">
        <v>3335</v>
      </c>
      <c r="X404" s="324" t="s">
        <v>3366</v>
      </c>
      <c r="Y404" s="324" t="s">
        <v>3400</v>
      </c>
      <c r="Z404" s="322" t="s">
        <v>3382</v>
      </c>
      <c r="AA404" s="392">
        <v>49808</v>
      </c>
    </row>
    <row r="405" spans="17:27" ht="13.8">
      <c r="Q405" s="385">
        <f t="shared" si="6"/>
        <v>399</v>
      </c>
      <c r="R405" s="386" t="s">
        <v>2363</v>
      </c>
      <c r="S405" s="386" t="s">
        <v>2364</v>
      </c>
      <c r="T405" s="387" t="s">
        <v>1401</v>
      </c>
      <c r="U405" s="385" t="s">
        <v>2365</v>
      </c>
      <c r="V405" s="385" t="s">
        <v>2364</v>
      </c>
      <c r="W405" s="386" t="s">
        <v>3252</v>
      </c>
      <c r="X405" s="324" t="s">
        <v>3364</v>
      </c>
      <c r="Y405" s="324" t="s">
        <v>3401</v>
      </c>
      <c r="Z405" s="322" t="s">
        <v>3386</v>
      </c>
      <c r="AA405" s="392">
        <v>22999</v>
      </c>
    </row>
    <row r="406" spans="17:27" ht="13.8">
      <c r="Q406" s="385">
        <f t="shared" si="6"/>
        <v>400</v>
      </c>
      <c r="R406" s="386" t="s">
        <v>2366</v>
      </c>
      <c r="S406" s="386" t="s">
        <v>2367</v>
      </c>
      <c r="T406" s="387" t="s">
        <v>1174</v>
      </c>
      <c r="U406" s="385" t="s">
        <v>2368</v>
      </c>
      <c r="V406" s="385" t="s">
        <v>3336</v>
      </c>
      <c r="W406" s="386" t="s">
        <v>3336</v>
      </c>
      <c r="X406" s="324" t="s">
        <v>3366</v>
      </c>
      <c r="Y406" s="324" t="s">
        <v>3400</v>
      </c>
      <c r="Z406" s="322" t="s">
        <v>3382</v>
      </c>
      <c r="AA406" s="392">
        <v>20249</v>
      </c>
    </row>
    <row r="407" spans="17:27" ht="13.8">
      <c r="Q407" s="385">
        <f t="shared" si="6"/>
        <v>401</v>
      </c>
      <c r="R407" s="386" t="s">
        <v>2369</v>
      </c>
      <c r="S407" s="386" t="s">
        <v>2370</v>
      </c>
      <c r="T407" s="387" t="s">
        <v>1229</v>
      </c>
      <c r="U407" s="385" t="s">
        <v>2371</v>
      </c>
      <c r="V407" s="385" t="s">
        <v>2370</v>
      </c>
      <c r="W407" s="386" t="s">
        <v>3253</v>
      </c>
      <c r="X407" s="324" t="s">
        <v>3364</v>
      </c>
      <c r="Y407" s="324" t="s">
        <v>3401</v>
      </c>
      <c r="Z407" s="322" t="s">
        <v>3386</v>
      </c>
      <c r="AA407" s="392">
        <v>8421</v>
      </c>
    </row>
    <row r="408" spans="17:27" ht="13.8">
      <c r="Q408" s="385">
        <f t="shared" si="6"/>
        <v>402</v>
      </c>
      <c r="R408" s="386" t="s">
        <v>2372</v>
      </c>
      <c r="S408" s="386" t="s">
        <v>2373</v>
      </c>
      <c r="T408" s="387" t="s">
        <v>1192</v>
      </c>
      <c r="U408" s="385" t="s">
        <v>2374</v>
      </c>
      <c r="V408" s="385" t="s">
        <v>2373</v>
      </c>
      <c r="W408" s="386" t="s">
        <v>3254</v>
      </c>
      <c r="X408" s="324" t="s">
        <v>3364</v>
      </c>
      <c r="Y408" s="324" t="s">
        <v>3400</v>
      </c>
      <c r="Z408" s="322" t="s">
        <v>3384</v>
      </c>
      <c r="AA408" s="392">
        <v>3339</v>
      </c>
    </row>
    <row r="409" spans="17:27" ht="13.8">
      <c r="Q409" s="385">
        <f t="shared" si="6"/>
        <v>403</v>
      </c>
      <c r="R409" s="386" t="s">
        <v>2375</v>
      </c>
      <c r="S409" s="386" t="s">
        <v>2376</v>
      </c>
      <c r="T409" s="387" t="s">
        <v>1229</v>
      </c>
      <c r="U409" s="385" t="s">
        <v>2377</v>
      </c>
      <c r="V409" s="385" t="s">
        <v>3033</v>
      </c>
      <c r="W409" s="386" t="s">
        <v>3033</v>
      </c>
      <c r="X409" s="324" t="s">
        <v>3365</v>
      </c>
      <c r="Y409" s="324" t="s">
        <v>3400</v>
      </c>
      <c r="Z409" s="322" t="s">
        <v>3381</v>
      </c>
      <c r="AA409" s="392">
        <v>4665</v>
      </c>
    </row>
    <row r="410" spans="17:27" ht="13.8">
      <c r="Q410" s="385">
        <f t="shared" si="6"/>
        <v>404</v>
      </c>
      <c r="R410" s="386" t="s">
        <v>2378</v>
      </c>
      <c r="S410" s="386" t="s">
        <v>2379</v>
      </c>
      <c r="T410" s="387" t="s">
        <v>1229</v>
      </c>
      <c r="U410" s="385" t="s">
        <v>2380</v>
      </c>
      <c r="V410" s="385" t="s">
        <v>3034</v>
      </c>
      <c r="W410" s="386" t="s">
        <v>3034</v>
      </c>
      <c r="X410" s="324" t="s">
        <v>3365</v>
      </c>
      <c r="Y410" s="324" t="s">
        <v>3400</v>
      </c>
      <c r="Z410" s="322" t="s">
        <v>3381</v>
      </c>
      <c r="AA410" s="392">
        <v>18392</v>
      </c>
    </row>
    <row r="411" spans="17:27" ht="13.8">
      <c r="Q411" s="385">
        <f t="shared" si="6"/>
        <v>405</v>
      </c>
      <c r="R411" s="386" t="s">
        <v>2381</v>
      </c>
      <c r="S411" s="386" t="s">
        <v>2382</v>
      </c>
      <c r="T411" s="387" t="s">
        <v>1308</v>
      </c>
      <c r="U411" s="385" t="s">
        <v>2383</v>
      </c>
      <c r="V411" s="385" t="s">
        <v>3035</v>
      </c>
      <c r="W411" s="386" t="s">
        <v>3035</v>
      </c>
      <c r="X411" s="324" t="s">
        <v>3365</v>
      </c>
      <c r="Y411" s="324" t="s">
        <v>3400</v>
      </c>
      <c r="Z411" s="322" t="s">
        <v>3381</v>
      </c>
      <c r="AA411" s="392">
        <v>11097</v>
      </c>
    </row>
    <row r="412" spans="17:27" ht="13.8">
      <c r="Q412" s="385">
        <f t="shared" si="6"/>
        <v>406</v>
      </c>
      <c r="R412" s="386" t="s">
        <v>2384</v>
      </c>
      <c r="S412" s="386" t="s">
        <v>2385</v>
      </c>
      <c r="T412" s="387" t="s">
        <v>1174</v>
      </c>
      <c r="U412" s="385" t="s">
        <v>2386</v>
      </c>
      <c r="V412" s="385" t="s">
        <v>3337</v>
      </c>
      <c r="W412" s="386" t="s">
        <v>3337</v>
      </c>
      <c r="X412" s="324" t="s">
        <v>3366</v>
      </c>
      <c r="Y412" s="324" t="s">
        <v>3400</v>
      </c>
      <c r="Z412" s="322" t="s">
        <v>3382</v>
      </c>
      <c r="AA412" s="392">
        <v>1115</v>
      </c>
    </row>
    <row r="413" spans="17:27" ht="13.8">
      <c r="Q413" s="385">
        <f t="shared" si="6"/>
        <v>407</v>
      </c>
      <c r="R413" s="388" t="s">
        <v>2387</v>
      </c>
      <c r="S413" s="386" t="s">
        <v>2388</v>
      </c>
      <c r="T413" s="387" t="s">
        <v>1541</v>
      </c>
      <c r="U413" s="385" t="s">
        <v>2389</v>
      </c>
      <c r="V413" s="385" t="s">
        <v>2388</v>
      </c>
      <c r="W413" s="386" t="s">
        <v>2388</v>
      </c>
      <c r="X413" s="324" t="s">
        <v>3365</v>
      </c>
      <c r="Y413" s="324" t="s">
        <v>3400</v>
      </c>
      <c r="Z413" s="322" t="e">
        <v>#N/A</v>
      </c>
      <c r="AA413" s="392">
        <v>12307</v>
      </c>
    </row>
    <row r="414" spans="17:27" ht="13.8">
      <c r="Q414" s="385">
        <f t="shared" si="6"/>
        <v>408</v>
      </c>
      <c r="R414" s="386" t="s">
        <v>2390</v>
      </c>
      <c r="S414" s="386" t="s">
        <v>2391</v>
      </c>
      <c r="T414" s="387" t="s">
        <v>1308</v>
      </c>
      <c r="U414" s="385" t="s">
        <v>2392</v>
      </c>
      <c r="V414" s="385" t="s">
        <v>3036</v>
      </c>
      <c r="W414" s="386" t="s">
        <v>3036</v>
      </c>
      <c r="X414" s="324" t="s">
        <v>3365</v>
      </c>
      <c r="Y414" s="324" t="s">
        <v>3400</v>
      </c>
      <c r="Z414" s="322" t="s">
        <v>3381</v>
      </c>
      <c r="AA414" s="392">
        <v>5865</v>
      </c>
    </row>
    <row r="415" spans="17:27" ht="13.8">
      <c r="Q415" s="385">
        <f t="shared" si="6"/>
        <v>409</v>
      </c>
      <c r="R415" s="386" t="s">
        <v>2393</v>
      </c>
      <c r="S415" s="386" t="s">
        <v>2394</v>
      </c>
      <c r="T415" s="387" t="s">
        <v>1188</v>
      </c>
      <c r="U415" s="385" t="s">
        <v>2395</v>
      </c>
      <c r="V415" s="385" t="s">
        <v>2394</v>
      </c>
      <c r="W415" s="386" t="s">
        <v>3255</v>
      </c>
      <c r="X415" s="324" t="s">
        <v>3364</v>
      </c>
      <c r="Y415" s="324" t="s">
        <v>3401</v>
      </c>
      <c r="Z415" s="322" t="s">
        <v>3383</v>
      </c>
      <c r="AA415" s="392">
        <v>2666</v>
      </c>
    </row>
    <row r="416" spans="17:27" ht="13.8">
      <c r="Q416" s="385">
        <f t="shared" si="6"/>
        <v>410</v>
      </c>
      <c r="R416" s="386" t="s">
        <v>2396</v>
      </c>
      <c r="S416" s="386" t="s">
        <v>2397</v>
      </c>
      <c r="T416" s="387" t="s">
        <v>1276</v>
      </c>
      <c r="U416" s="385" t="s">
        <v>2398</v>
      </c>
      <c r="V416" s="385" t="s">
        <v>3338</v>
      </c>
      <c r="W416" s="386" t="s">
        <v>3338</v>
      </c>
      <c r="X416" s="324" t="s">
        <v>3366</v>
      </c>
      <c r="Y416" s="324" t="s">
        <v>3400</v>
      </c>
      <c r="Z416" s="322" t="s">
        <v>3388</v>
      </c>
      <c r="AA416" s="392">
        <v>27346</v>
      </c>
    </row>
    <row r="417" spans="17:27" ht="13.8">
      <c r="Q417" s="385">
        <f t="shared" si="6"/>
        <v>411</v>
      </c>
      <c r="R417" s="386" t="s">
        <v>2399</v>
      </c>
      <c r="S417" s="386" t="s">
        <v>2400</v>
      </c>
      <c r="T417" s="387" t="s">
        <v>1178</v>
      </c>
      <c r="U417" s="385" t="s">
        <v>2401</v>
      </c>
      <c r="V417" s="385" t="s">
        <v>3037</v>
      </c>
      <c r="W417" s="386" t="s">
        <v>3037</v>
      </c>
      <c r="X417" s="324" t="s">
        <v>3365</v>
      </c>
      <c r="Y417" s="324" t="s">
        <v>3400</v>
      </c>
      <c r="Z417" s="322" t="s">
        <v>3381</v>
      </c>
      <c r="AA417" s="392">
        <v>14473</v>
      </c>
    </row>
    <row r="418" spans="17:27" ht="13.8">
      <c r="Q418" s="385">
        <f t="shared" si="6"/>
        <v>412</v>
      </c>
      <c r="R418" s="386" t="s">
        <v>2402</v>
      </c>
      <c r="S418" s="386" t="s">
        <v>2403</v>
      </c>
      <c r="T418" s="387" t="s">
        <v>1318</v>
      </c>
      <c r="U418" s="385" t="s">
        <v>2404</v>
      </c>
      <c r="V418" s="385" t="s">
        <v>2403</v>
      </c>
      <c r="W418" s="386" t="s">
        <v>3256</v>
      </c>
      <c r="X418" s="324" t="s">
        <v>3364</v>
      </c>
      <c r="Y418" s="324" t="s">
        <v>3400</v>
      </c>
      <c r="Z418" s="322" t="s">
        <v>3390</v>
      </c>
      <c r="AA418" s="392">
        <v>25734</v>
      </c>
    </row>
    <row r="419" spans="17:27" ht="13.8">
      <c r="Q419" s="385">
        <f t="shared" si="6"/>
        <v>413</v>
      </c>
      <c r="R419" s="386" t="s">
        <v>2405</v>
      </c>
      <c r="S419" s="386" t="s">
        <v>2406</v>
      </c>
      <c r="T419" s="387" t="s">
        <v>1256</v>
      </c>
      <c r="U419" s="385" t="s">
        <v>2407</v>
      </c>
      <c r="V419" s="385" t="s">
        <v>3038</v>
      </c>
      <c r="W419" s="386" t="s">
        <v>3038</v>
      </c>
      <c r="X419" s="324" t="s">
        <v>3365</v>
      </c>
      <c r="Y419" s="324" t="s">
        <v>3400</v>
      </c>
      <c r="Z419" s="322" t="s">
        <v>3381</v>
      </c>
      <c r="AA419" s="392">
        <v>6881</v>
      </c>
    </row>
    <row r="420" spans="17:27" ht="13.8">
      <c r="Q420" s="385">
        <f t="shared" si="6"/>
        <v>414</v>
      </c>
      <c r="R420" s="386" t="s">
        <v>2408</v>
      </c>
      <c r="S420" s="386" t="s">
        <v>2409</v>
      </c>
      <c r="T420" s="387" t="s">
        <v>1295</v>
      </c>
      <c r="U420" s="385" t="s">
        <v>2410</v>
      </c>
      <c r="V420" s="385" t="s">
        <v>2409</v>
      </c>
      <c r="W420" s="386" t="s">
        <v>3038</v>
      </c>
      <c r="X420" s="324" t="s">
        <v>3364</v>
      </c>
      <c r="Y420" s="324" t="s">
        <v>3401</v>
      </c>
      <c r="Z420" s="322" t="s">
        <v>3386</v>
      </c>
      <c r="AA420" s="392">
        <v>22185</v>
      </c>
    </row>
    <row r="421" spans="17:27" ht="13.8">
      <c r="Q421" s="385">
        <f t="shared" si="6"/>
        <v>415</v>
      </c>
      <c r="R421" s="386" t="s">
        <v>2411</v>
      </c>
      <c r="S421" s="386" t="s">
        <v>2412</v>
      </c>
      <c r="T421" s="387" t="s">
        <v>1295</v>
      </c>
      <c r="U421" s="385" t="s">
        <v>2413</v>
      </c>
      <c r="V421" s="385" t="s">
        <v>2412</v>
      </c>
      <c r="W421" s="386" t="s">
        <v>3257</v>
      </c>
      <c r="X421" s="324" t="s">
        <v>3364</v>
      </c>
      <c r="Y421" s="324" t="s">
        <v>3401</v>
      </c>
      <c r="Z421" s="322" t="s">
        <v>3386</v>
      </c>
      <c r="AA421" s="392">
        <v>16126</v>
      </c>
    </row>
    <row r="422" spans="17:27" ht="13.8">
      <c r="Q422" s="385">
        <f t="shared" si="6"/>
        <v>416</v>
      </c>
      <c r="R422" s="386" t="s">
        <v>2414</v>
      </c>
      <c r="S422" s="386" t="s">
        <v>2415</v>
      </c>
      <c r="T422" s="387" t="s">
        <v>1170</v>
      </c>
      <c r="U422" s="385" t="s">
        <v>2416</v>
      </c>
      <c r="V422" s="385" t="s">
        <v>3039</v>
      </c>
      <c r="W422" s="386" t="s">
        <v>3039</v>
      </c>
      <c r="X422" s="324" t="s">
        <v>3365</v>
      </c>
      <c r="Y422" s="324" t="s">
        <v>3400</v>
      </c>
      <c r="Z422" s="322" t="s">
        <v>3381</v>
      </c>
      <c r="AA422" s="392">
        <v>12206</v>
      </c>
    </row>
    <row r="423" spans="17:27" ht="13.8">
      <c r="Q423" s="385">
        <f t="shared" si="6"/>
        <v>417</v>
      </c>
      <c r="R423" s="386" t="s">
        <v>2417</v>
      </c>
      <c r="S423" s="386" t="s">
        <v>2418</v>
      </c>
      <c r="T423" s="387" t="s">
        <v>1178</v>
      </c>
      <c r="U423" s="385" t="s">
        <v>2419</v>
      </c>
      <c r="V423" s="385" t="s">
        <v>3040</v>
      </c>
      <c r="W423" s="386" t="s">
        <v>3040</v>
      </c>
      <c r="X423" s="324" t="s">
        <v>3365</v>
      </c>
      <c r="Y423" s="324" t="s">
        <v>3400</v>
      </c>
      <c r="Z423" s="322" t="s">
        <v>3381</v>
      </c>
      <c r="AA423" s="392">
        <v>11032</v>
      </c>
    </row>
    <row r="424" spans="17:27" ht="13.8">
      <c r="Q424" s="385">
        <f t="shared" si="6"/>
        <v>418</v>
      </c>
      <c r="R424" s="386" t="s">
        <v>2420</v>
      </c>
      <c r="S424" s="386" t="s">
        <v>2421</v>
      </c>
      <c r="T424" s="387" t="s">
        <v>1178</v>
      </c>
      <c r="U424" s="385" t="s">
        <v>2422</v>
      </c>
      <c r="V424" s="385" t="s">
        <v>2421</v>
      </c>
      <c r="W424" s="386" t="s">
        <v>3369</v>
      </c>
      <c r="X424" s="324" t="s">
        <v>3367</v>
      </c>
      <c r="Y424" s="324" t="s">
        <v>3402</v>
      </c>
      <c r="Z424" s="322" t="s">
        <v>3396</v>
      </c>
      <c r="AA424" s="392">
        <v>12729</v>
      </c>
    </row>
    <row r="425" spans="17:27" ht="13.8">
      <c r="Q425" s="385">
        <f t="shared" si="6"/>
        <v>419</v>
      </c>
      <c r="R425" s="386" t="s">
        <v>2423</v>
      </c>
      <c r="S425" s="386" t="s">
        <v>2424</v>
      </c>
      <c r="T425" s="387" t="s">
        <v>1178</v>
      </c>
      <c r="U425" s="385" t="s">
        <v>2425</v>
      </c>
      <c r="V425" s="385" t="s">
        <v>2424</v>
      </c>
      <c r="W425" s="386" t="s">
        <v>3370</v>
      </c>
      <c r="X425" s="324" t="s">
        <v>3367</v>
      </c>
      <c r="Y425" s="324" t="s">
        <v>3400</v>
      </c>
      <c r="Z425" s="322" t="s">
        <v>3387</v>
      </c>
      <c r="AA425" s="392">
        <v>24958</v>
      </c>
    </row>
    <row r="426" spans="17:27" ht="13.8">
      <c r="Q426" s="385">
        <f t="shared" si="6"/>
        <v>420</v>
      </c>
      <c r="R426" s="386" t="s">
        <v>2426</v>
      </c>
      <c r="S426" s="386" t="s">
        <v>2427</v>
      </c>
      <c r="T426" s="387" t="s">
        <v>1308</v>
      </c>
      <c r="U426" s="385" t="s">
        <v>2428</v>
      </c>
      <c r="V426" s="385" t="s">
        <v>3041</v>
      </c>
      <c r="W426" s="386" t="s">
        <v>3041</v>
      </c>
      <c r="X426" s="324" t="s">
        <v>3365</v>
      </c>
      <c r="Y426" s="324" t="s">
        <v>3400</v>
      </c>
      <c r="Z426" s="322" t="s">
        <v>3390</v>
      </c>
      <c r="AA426" s="392">
        <v>12228</v>
      </c>
    </row>
    <row r="427" spans="17:27" ht="13.8">
      <c r="Q427" s="385">
        <f t="shared" si="6"/>
        <v>421</v>
      </c>
      <c r="R427" s="386" t="s">
        <v>2429</v>
      </c>
      <c r="S427" s="386" t="s">
        <v>2430</v>
      </c>
      <c r="T427" s="387" t="s">
        <v>1178</v>
      </c>
      <c r="U427" s="385" t="s">
        <v>2431</v>
      </c>
      <c r="V427" s="385" t="s">
        <v>3042</v>
      </c>
      <c r="W427" s="386" t="s">
        <v>3042</v>
      </c>
      <c r="X427" s="324" t="s">
        <v>3365</v>
      </c>
      <c r="Y427" s="324" t="s">
        <v>3400</v>
      </c>
      <c r="Z427" s="322" t="s">
        <v>3381</v>
      </c>
      <c r="AA427" s="392">
        <v>11340</v>
      </c>
    </row>
    <row r="428" spans="17:27" ht="13.8">
      <c r="Q428" s="385">
        <f t="shared" si="6"/>
        <v>422</v>
      </c>
      <c r="R428" s="386" t="s">
        <v>2432</v>
      </c>
      <c r="S428" s="386" t="s">
        <v>2433</v>
      </c>
      <c r="T428" s="387" t="s">
        <v>1178</v>
      </c>
      <c r="U428" s="385" t="s">
        <v>2434</v>
      </c>
      <c r="V428" s="385" t="s">
        <v>2433</v>
      </c>
      <c r="W428" s="386" t="s">
        <v>3258</v>
      </c>
      <c r="X428" s="324" t="s">
        <v>3364</v>
      </c>
      <c r="Y428" s="324" t="s">
        <v>3400</v>
      </c>
      <c r="Z428" s="322" t="s">
        <v>3389</v>
      </c>
      <c r="AA428" s="392">
        <v>9659</v>
      </c>
    </row>
    <row r="429" spans="17:27" ht="13.8">
      <c r="Q429" s="385">
        <f t="shared" si="6"/>
        <v>423</v>
      </c>
      <c r="R429" s="386" t="s">
        <v>2435</v>
      </c>
      <c r="S429" s="386" t="s">
        <v>2436</v>
      </c>
      <c r="T429" s="387" t="s">
        <v>1318</v>
      </c>
      <c r="U429" s="385" t="s">
        <v>2437</v>
      </c>
      <c r="V429" s="385" t="s">
        <v>3043</v>
      </c>
      <c r="W429" s="386" t="s">
        <v>3043</v>
      </c>
      <c r="X429" s="324" t="s">
        <v>3365</v>
      </c>
      <c r="Y429" s="324" t="s">
        <v>3400</v>
      </c>
      <c r="Z429" s="322" t="s">
        <v>3381</v>
      </c>
      <c r="AA429" s="392">
        <v>3559</v>
      </c>
    </row>
    <row r="430" spans="17:27" ht="13.8">
      <c r="Q430" s="385">
        <f t="shared" si="6"/>
        <v>424</v>
      </c>
      <c r="R430" s="386" t="s">
        <v>2438</v>
      </c>
      <c r="S430" s="386" t="s">
        <v>2439</v>
      </c>
      <c r="T430" s="387" t="s">
        <v>1239</v>
      </c>
      <c r="U430" s="385" t="s">
        <v>2440</v>
      </c>
      <c r="V430" s="385" t="s">
        <v>2439</v>
      </c>
      <c r="W430" s="386" t="s">
        <v>3259</v>
      </c>
      <c r="X430" s="324" t="s">
        <v>3364</v>
      </c>
      <c r="Y430" s="324" t="s">
        <v>3401</v>
      </c>
      <c r="Z430" s="322" t="s">
        <v>3386</v>
      </c>
      <c r="AA430" s="392">
        <v>8079</v>
      </c>
    </row>
    <row r="431" spans="17:27" ht="13.8">
      <c r="Q431" s="385">
        <f t="shared" si="6"/>
        <v>425</v>
      </c>
      <c r="R431" s="386" t="s">
        <v>2441</v>
      </c>
      <c r="S431" s="386" t="s">
        <v>2442</v>
      </c>
      <c r="T431" s="387" t="s">
        <v>1239</v>
      </c>
      <c r="U431" s="385" t="s">
        <v>2443</v>
      </c>
      <c r="V431" s="385" t="s">
        <v>3044</v>
      </c>
      <c r="W431" s="386" t="s">
        <v>3044</v>
      </c>
      <c r="X431" s="324" t="s">
        <v>3365</v>
      </c>
      <c r="Y431" s="324" t="s">
        <v>3400</v>
      </c>
      <c r="Z431" s="322" t="s">
        <v>3381</v>
      </c>
      <c r="AA431" s="392">
        <v>2779</v>
      </c>
    </row>
    <row r="432" spans="17:27" ht="13.8">
      <c r="Q432" s="385">
        <f t="shared" si="6"/>
        <v>426</v>
      </c>
      <c r="R432" s="386" t="s">
        <v>2444</v>
      </c>
      <c r="S432" s="386" t="s">
        <v>2445</v>
      </c>
      <c r="T432" s="387" t="s">
        <v>1541</v>
      </c>
      <c r="U432" s="385" t="s">
        <v>2446</v>
      </c>
      <c r="V432" s="385" t="s">
        <v>2445</v>
      </c>
      <c r="W432" s="386" t="s">
        <v>3260</v>
      </c>
      <c r="X432" s="324" t="s">
        <v>3364</v>
      </c>
      <c r="Y432" s="324" t="s">
        <v>3400</v>
      </c>
      <c r="Z432" s="322" t="s">
        <v>3389</v>
      </c>
      <c r="AA432" s="392">
        <v>13642</v>
      </c>
    </row>
    <row r="433" spans="17:27" ht="13.8">
      <c r="Q433" s="385">
        <f t="shared" si="6"/>
        <v>427</v>
      </c>
      <c r="R433" s="386" t="s">
        <v>2447</v>
      </c>
      <c r="S433" s="386" t="s">
        <v>2448</v>
      </c>
      <c r="T433" s="387" t="s">
        <v>1178</v>
      </c>
      <c r="U433" s="385" t="s">
        <v>2449</v>
      </c>
      <c r="V433" s="385" t="s">
        <v>2448</v>
      </c>
      <c r="W433" s="386" t="s">
        <v>3261</v>
      </c>
      <c r="X433" s="324" t="s">
        <v>3364</v>
      </c>
      <c r="Y433" s="324" t="s">
        <v>3401</v>
      </c>
      <c r="Z433" s="322" t="s">
        <v>3386</v>
      </c>
      <c r="AA433" s="392">
        <v>5530</v>
      </c>
    </row>
    <row r="434" spans="17:27" ht="13.8">
      <c r="Q434" s="385">
        <f t="shared" si="6"/>
        <v>428</v>
      </c>
      <c r="R434" s="386" t="s">
        <v>2450</v>
      </c>
      <c r="S434" s="386" t="s">
        <v>2451</v>
      </c>
      <c r="T434" s="387" t="s">
        <v>1318</v>
      </c>
      <c r="U434" s="385" t="s">
        <v>2452</v>
      </c>
      <c r="V434" s="385" t="s">
        <v>3045</v>
      </c>
      <c r="W434" s="386" t="s">
        <v>3045</v>
      </c>
      <c r="X434" s="324" t="s">
        <v>3365</v>
      </c>
      <c r="Y434" s="324" t="s">
        <v>3400</v>
      </c>
      <c r="Z434" s="322" t="s">
        <v>3381</v>
      </c>
      <c r="AA434" s="392">
        <v>6438</v>
      </c>
    </row>
    <row r="435" spans="17:27" ht="13.8">
      <c r="Q435" s="385">
        <f t="shared" si="6"/>
        <v>429</v>
      </c>
      <c r="R435" s="386" t="s">
        <v>2453</v>
      </c>
      <c r="S435" s="386" t="s">
        <v>2454</v>
      </c>
      <c r="T435" s="387" t="s">
        <v>1318</v>
      </c>
      <c r="U435" s="385" t="s">
        <v>2455</v>
      </c>
      <c r="V435" s="385" t="s">
        <v>2454</v>
      </c>
      <c r="W435" s="386" t="s">
        <v>3045</v>
      </c>
      <c r="X435" s="324" t="s">
        <v>3364</v>
      </c>
      <c r="Y435" s="324" t="s">
        <v>3400</v>
      </c>
      <c r="Z435" s="322" t="s">
        <v>3388</v>
      </c>
      <c r="AA435" s="392">
        <v>24156</v>
      </c>
    </row>
    <row r="436" spans="17:27" ht="13.8">
      <c r="Q436" s="385">
        <f t="shared" si="6"/>
        <v>430</v>
      </c>
      <c r="R436" s="386" t="s">
        <v>2456</v>
      </c>
      <c r="S436" s="386" t="s">
        <v>2457</v>
      </c>
      <c r="T436" s="387" t="s">
        <v>1178</v>
      </c>
      <c r="U436" s="385" t="s">
        <v>2458</v>
      </c>
      <c r="V436" s="385" t="s">
        <v>3046</v>
      </c>
      <c r="W436" s="386" t="s">
        <v>3046</v>
      </c>
      <c r="X436" s="324" t="s">
        <v>3365</v>
      </c>
      <c r="Y436" s="324" t="s">
        <v>3400</v>
      </c>
      <c r="Z436" s="322" t="s">
        <v>3381</v>
      </c>
      <c r="AA436" s="392">
        <v>531</v>
      </c>
    </row>
    <row r="437" spans="17:27" ht="13.8">
      <c r="Q437" s="385">
        <f t="shared" si="6"/>
        <v>431</v>
      </c>
      <c r="R437" s="386" t="s">
        <v>2459</v>
      </c>
      <c r="S437" s="386" t="s">
        <v>2460</v>
      </c>
      <c r="T437" s="387" t="s">
        <v>1256</v>
      </c>
      <c r="U437" s="385" t="s">
        <v>2461</v>
      </c>
      <c r="V437" s="385" t="s">
        <v>3047</v>
      </c>
      <c r="W437" s="386" t="s">
        <v>3047</v>
      </c>
      <c r="X437" s="324" t="s">
        <v>3365</v>
      </c>
      <c r="Y437" s="324" t="s">
        <v>3400</v>
      </c>
      <c r="Z437" s="322" t="s">
        <v>3381</v>
      </c>
      <c r="AA437" s="392">
        <v>682</v>
      </c>
    </row>
    <row r="438" spans="17:27" ht="13.8">
      <c r="Q438" s="385">
        <f t="shared" si="6"/>
        <v>432</v>
      </c>
      <c r="R438" s="386" t="s">
        <v>2462</v>
      </c>
      <c r="S438" s="386" t="s">
        <v>2463</v>
      </c>
      <c r="T438" s="387" t="s">
        <v>1170</v>
      </c>
      <c r="U438" s="385" t="s">
        <v>2464</v>
      </c>
      <c r="V438" s="385" t="s">
        <v>3048</v>
      </c>
      <c r="W438" s="386" t="s">
        <v>3048</v>
      </c>
      <c r="X438" s="324" t="s">
        <v>3365</v>
      </c>
      <c r="Y438" s="324" t="s">
        <v>3400</v>
      </c>
      <c r="Z438" s="322" t="s">
        <v>3381</v>
      </c>
      <c r="AA438" s="392">
        <v>882</v>
      </c>
    </row>
    <row r="439" spans="17:27" ht="13.8">
      <c r="Q439" s="385">
        <f t="shared" si="6"/>
        <v>433</v>
      </c>
      <c r="R439" s="386" t="s">
        <v>2465</v>
      </c>
      <c r="S439" s="386" t="s">
        <v>2466</v>
      </c>
      <c r="T439" s="387" t="s">
        <v>1260</v>
      </c>
      <c r="U439" s="385" t="s">
        <v>2467</v>
      </c>
      <c r="V439" s="385" t="s">
        <v>3049</v>
      </c>
      <c r="W439" s="386" t="s">
        <v>3049</v>
      </c>
      <c r="X439" s="324" t="s">
        <v>3365</v>
      </c>
      <c r="Y439" s="324" t="s">
        <v>3400</v>
      </c>
      <c r="Z439" s="322" t="s">
        <v>3381</v>
      </c>
      <c r="AA439" s="392">
        <v>5819</v>
      </c>
    </row>
    <row r="440" spans="17:27" ht="13.8">
      <c r="Q440" s="385">
        <f t="shared" si="6"/>
        <v>434</v>
      </c>
      <c r="R440" s="386" t="s">
        <v>2468</v>
      </c>
      <c r="S440" s="386" t="s">
        <v>2469</v>
      </c>
      <c r="T440" s="387" t="s">
        <v>1276</v>
      </c>
      <c r="U440" s="385" t="s">
        <v>2470</v>
      </c>
      <c r="V440" s="385" t="s">
        <v>3050</v>
      </c>
      <c r="W440" s="386" t="s">
        <v>3050</v>
      </c>
      <c r="X440" s="324" t="s">
        <v>3365</v>
      </c>
      <c r="Y440" s="324" t="s">
        <v>3400</v>
      </c>
      <c r="Z440" s="322" t="s">
        <v>3381</v>
      </c>
      <c r="AA440" s="392">
        <v>21085</v>
      </c>
    </row>
    <row r="441" spans="17:27" ht="13.8">
      <c r="Q441" s="385">
        <f t="shared" si="6"/>
        <v>435</v>
      </c>
      <c r="R441" s="386" t="s">
        <v>2471</v>
      </c>
      <c r="S441" s="386" t="s">
        <v>2472</v>
      </c>
      <c r="T441" s="387" t="s">
        <v>1276</v>
      </c>
      <c r="U441" s="385" t="s">
        <v>2473</v>
      </c>
      <c r="V441" s="385" t="s">
        <v>3051</v>
      </c>
      <c r="W441" s="386" t="s">
        <v>3051</v>
      </c>
      <c r="X441" s="324" t="s">
        <v>3365</v>
      </c>
      <c r="Y441" s="324" t="s">
        <v>3400</v>
      </c>
      <c r="Z441" s="322" t="s">
        <v>3381</v>
      </c>
      <c r="AA441" s="392">
        <v>13297</v>
      </c>
    </row>
    <row r="442" spans="17:27" ht="13.8">
      <c r="Q442" s="385">
        <f t="shared" si="6"/>
        <v>436</v>
      </c>
      <c r="R442" s="386" t="s">
        <v>2474</v>
      </c>
      <c r="S442" s="386" t="s">
        <v>2475</v>
      </c>
      <c r="T442" s="387" t="s">
        <v>1318</v>
      </c>
      <c r="U442" s="385" t="s">
        <v>2476</v>
      </c>
      <c r="V442" s="385" t="s">
        <v>2475</v>
      </c>
      <c r="W442" s="386" t="s">
        <v>3262</v>
      </c>
      <c r="X442" s="324" t="s">
        <v>3364</v>
      </c>
      <c r="Y442" s="324" t="s">
        <v>3400</v>
      </c>
      <c r="Z442" s="322" t="s">
        <v>3390</v>
      </c>
      <c r="AA442" s="392">
        <v>23324</v>
      </c>
    </row>
    <row r="443" spans="17:27" ht="13.8">
      <c r="Q443" s="385">
        <f t="shared" si="6"/>
        <v>437</v>
      </c>
      <c r="R443" s="386" t="s">
        <v>2477</v>
      </c>
      <c r="S443" s="386" t="s">
        <v>2478</v>
      </c>
      <c r="T443" s="387" t="s">
        <v>1170</v>
      </c>
      <c r="U443" s="385" t="s">
        <v>2479</v>
      </c>
      <c r="V443" s="385" t="s">
        <v>3052</v>
      </c>
      <c r="W443" s="386" t="s">
        <v>3052</v>
      </c>
      <c r="X443" s="324" t="s">
        <v>3365</v>
      </c>
      <c r="Y443" s="324" t="s">
        <v>3400</v>
      </c>
      <c r="Z443" s="322" t="s">
        <v>3381</v>
      </c>
      <c r="AA443" s="392">
        <v>7122</v>
      </c>
    </row>
    <row r="444" spans="17:27" ht="13.8">
      <c r="Q444" s="385">
        <f t="shared" si="6"/>
        <v>438</v>
      </c>
      <c r="R444" s="386" t="s">
        <v>2480</v>
      </c>
      <c r="S444" s="386" t="s">
        <v>2481</v>
      </c>
      <c r="T444" s="387" t="s">
        <v>1215</v>
      </c>
      <c r="U444" s="385" t="s">
        <v>2482</v>
      </c>
      <c r="V444" s="385" t="s">
        <v>3053</v>
      </c>
      <c r="W444" s="386" t="s">
        <v>3053</v>
      </c>
      <c r="X444" s="324" t="s">
        <v>3365</v>
      </c>
      <c r="Y444" s="324" t="s">
        <v>3400</v>
      </c>
      <c r="Z444" s="322" t="s">
        <v>3381</v>
      </c>
      <c r="AA444" s="392">
        <v>8468</v>
      </c>
    </row>
    <row r="445" spans="17:27" ht="13.8">
      <c r="Q445" s="385">
        <f t="shared" si="6"/>
        <v>439</v>
      </c>
      <c r="R445" s="386" t="s">
        <v>2483</v>
      </c>
      <c r="S445" s="386" t="s">
        <v>2484</v>
      </c>
      <c r="T445" s="387" t="s">
        <v>1178</v>
      </c>
      <c r="U445" s="385" t="s">
        <v>2485</v>
      </c>
      <c r="V445" s="385" t="s">
        <v>3054</v>
      </c>
      <c r="W445" s="386" t="s">
        <v>3054</v>
      </c>
      <c r="X445" s="324" t="s">
        <v>3365</v>
      </c>
      <c r="Y445" s="324" t="s">
        <v>3400</v>
      </c>
      <c r="Z445" s="322" t="s">
        <v>3381</v>
      </c>
      <c r="AA445" s="392">
        <v>18061</v>
      </c>
    </row>
    <row r="446" spans="17:27" ht="13.8">
      <c r="Q446" s="385">
        <f t="shared" si="6"/>
        <v>440</v>
      </c>
      <c r="R446" s="386" t="s">
        <v>2486</v>
      </c>
      <c r="S446" s="386" t="s">
        <v>2487</v>
      </c>
      <c r="T446" s="387" t="s">
        <v>1178</v>
      </c>
      <c r="U446" s="385" t="s">
        <v>2488</v>
      </c>
      <c r="V446" s="385" t="s">
        <v>2487</v>
      </c>
      <c r="W446" s="386" t="s">
        <v>3263</v>
      </c>
      <c r="X446" s="324" t="s">
        <v>3364</v>
      </c>
      <c r="Y446" s="324" t="s">
        <v>3400</v>
      </c>
      <c r="Z446" s="322" t="s">
        <v>3389</v>
      </c>
      <c r="AA446" s="392">
        <v>13659</v>
      </c>
    </row>
    <row r="447" spans="17:27" ht="13.8">
      <c r="Q447" s="385">
        <f t="shared" si="6"/>
        <v>441</v>
      </c>
      <c r="R447" s="386" t="s">
        <v>2489</v>
      </c>
      <c r="S447" s="386" t="s">
        <v>2490</v>
      </c>
      <c r="T447" s="387" t="s">
        <v>1178</v>
      </c>
      <c r="U447" s="385" t="s">
        <v>2491</v>
      </c>
      <c r="V447" s="385" t="s">
        <v>3055</v>
      </c>
      <c r="W447" s="386" t="s">
        <v>3055</v>
      </c>
      <c r="X447" s="324" t="s">
        <v>3365</v>
      </c>
      <c r="Y447" s="324" t="s">
        <v>3400</v>
      </c>
      <c r="Z447" s="322" t="s">
        <v>3381</v>
      </c>
      <c r="AA447" s="392">
        <v>3152</v>
      </c>
    </row>
    <row r="448" spans="17:27" ht="13.8">
      <c r="Q448" s="385">
        <f t="shared" si="6"/>
        <v>442</v>
      </c>
      <c r="R448" s="386" t="s">
        <v>2492</v>
      </c>
      <c r="S448" s="386" t="s">
        <v>2493</v>
      </c>
      <c r="T448" s="387" t="s">
        <v>1188</v>
      </c>
      <c r="U448" s="385" t="s">
        <v>2494</v>
      </c>
      <c r="V448" s="385" t="s">
        <v>1188</v>
      </c>
      <c r="W448" s="386" t="s">
        <v>1188</v>
      </c>
      <c r="X448" s="324" t="s">
        <v>3366</v>
      </c>
      <c r="Y448" s="324" t="s">
        <v>3400</v>
      </c>
      <c r="Z448" s="322" t="s">
        <v>3394</v>
      </c>
      <c r="AA448" s="392">
        <v>5146</v>
      </c>
    </row>
    <row r="449" spans="17:27" ht="13.8">
      <c r="Q449" s="385">
        <f t="shared" si="6"/>
        <v>443</v>
      </c>
      <c r="R449" s="386" t="s">
        <v>2495</v>
      </c>
      <c r="S449" s="386" t="s">
        <v>2496</v>
      </c>
      <c r="T449" s="387" t="s">
        <v>1199</v>
      </c>
      <c r="U449" s="385" t="s">
        <v>2497</v>
      </c>
      <c r="V449" s="385" t="s">
        <v>2496</v>
      </c>
      <c r="W449" s="386" t="s">
        <v>3264</v>
      </c>
      <c r="X449" s="324" t="s">
        <v>3364</v>
      </c>
      <c r="Y449" s="324" t="s">
        <v>3401</v>
      </c>
      <c r="Z449" s="322" t="s">
        <v>3383</v>
      </c>
      <c r="AA449" s="392">
        <v>1998</v>
      </c>
    </row>
    <row r="450" spans="17:27" ht="13.8">
      <c r="Q450" s="385">
        <f t="shared" si="6"/>
        <v>444</v>
      </c>
      <c r="R450" s="386" t="s">
        <v>2498</v>
      </c>
      <c r="S450" s="386" t="s">
        <v>2499</v>
      </c>
      <c r="T450" s="387" t="s">
        <v>1401</v>
      </c>
      <c r="U450" s="385" t="s">
        <v>2500</v>
      </c>
      <c r="V450" s="385" t="s">
        <v>3056</v>
      </c>
      <c r="W450" s="386" t="s">
        <v>3056</v>
      </c>
      <c r="X450" s="324" t="s">
        <v>3365</v>
      </c>
      <c r="Y450" s="324" t="s">
        <v>3400</v>
      </c>
      <c r="Z450" s="322" t="s">
        <v>3381</v>
      </c>
      <c r="AA450" s="392">
        <v>42704</v>
      </c>
    </row>
    <row r="451" spans="17:27" ht="13.8">
      <c r="Q451" s="385">
        <f t="shared" si="6"/>
        <v>445</v>
      </c>
      <c r="R451" s="386" t="s">
        <v>2501</v>
      </c>
      <c r="S451" s="386" t="s">
        <v>2502</v>
      </c>
      <c r="T451" s="387" t="s">
        <v>1276</v>
      </c>
      <c r="U451" s="385" t="s">
        <v>2503</v>
      </c>
      <c r="V451" s="385" t="s">
        <v>2502</v>
      </c>
      <c r="W451" s="386" t="s">
        <v>3265</v>
      </c>
      <c r="X451" s="324" t="s">
        <v>3364</v>
      </c>
      <c r="Y451" s="324" t="s">
        <v>3400</v>
      </c>
      <c r="Z451" s="322" t="s">
        <v>3384</v>
      </c>
      <c r="AA451" s="392">
        <v>23510</v>
      </c>
    </row>
    <row r="452" spans="17:27" ht="13.8">
      <c r="Q452" s="385">
        <f t="shared" si="6"/>
        <v>446</v>
      </c>
      <c r="R452" s="386" t="s">
        <v>2504</v>
      </c>
      <c r="S452" s="386" t="s">
        <v>2505</v>
      </c>
      <c r="T452" s="387" t="s">
        <v>1170</v>
      </c>
      <c r="U452" s="385" t="s">
        <v>2506</v>
      </c>
      <c r="V452" s="385" t="s">
        <v>3057</v>
      </c>
      <c r="W452" s="386" t="s">
        <v>3057</v>
      </c>
      <c r="X452" s="324" t="s">
        <v>3365</v>
      </c>
      <c r="Y452" s="324" t="s">
        <v>3400</v>
      </c>
      <c r="Z452" s="322" t="s">
        <v>3381</v>
      </c>
      <c r="AA452" s="392">
        <v>1412</v>
      </c>
    </row>
    <row r="453" spans="17:27" ht="13.8">
      <c r="Q453" s="385">
        <f t="shared" si="6"/>
        <v>447</v>
      </c>
      <c r="R453" s="386" t="s">
        <v>2507</v>
      </c>
      <c r="S453" s="386" t="s">
        <v>2508</v>
      </c>
      <c r="T453" s="387" t="s">
        <v>1170</v>
      </c>
      <c r="U453" s="385" t="s">
        <v>2509</v>
      </c>
      <c r="V453" s="385" t="s">
        <v>3058</v>
      </c>
      <c r="W453" s="386" t="s">
        <v>3058</v>
      </c>
      <c r="X453" s="324" t="s">
        <v>3365</v>
      </c>
      <c r="Y453" s="324" t="s">
        <v>3400</v>
      </c>
      <c r="Z453" s="322" t="s">
        <v>3381</v>
      </c>
      <c r="AA453" s="392">
        <v>1828</v>
      </c>
    </row>
    <row r="454" spans="17:27" ht="13.8">
      <c r="Q454" s="385">
        <f t="shared" si="6"/>
        <v>448</v>
      </c>
      <c r="R454" s="386" t="s">
        <v>2510</v>
      </c>
      <c r="S454" s="386" t="s">
        <v>2511</v>
      </c>
      <c r="T454" s="387" t="s">
        <v>1222</v>
      </c>
      <c r="U454" s="385" t="s">
        <v>2512</v>
      </c>
      <c r="V454" s="385" t="s">
        <v>2511</v>
      </c>
      <c r="W454" s="386" t="s">
        <v>2511</v>
      </c>
      <c r="X454" s="324" t="s">
        <v>3366</v>
      </c>
      <c r="Y454" s="324" t="s">
        <v>3400</v>
      </c>
      <c r="Z454" s="322" t="s">
        <v>3389</v>
      </c>
      <c r="AA454" s="392">
        <v>2114</v>
      </c>
    </row>
    <row r="455" spans="17:27" ht="13.8">
      <c r="Q455" s="385">
        <f t="shared" si="6"/>
        <v>449</v>
      </c>
      <c r="R455" s="386" t="s">
        <v>2513</v>
      </c>
      <c r="S455" s="386" t="s">
        <v>2514</v>
      </c>
      <c r="T455" s="387" t="s">
        <v>1229</v>
      </c>
      <c r="U455" s="385" t="s">
        <v>2515</v>
      </c>
      <c r="V455" s="385" t="s">
        <v>3059</v>
      </c>
      <c r="W455" s="386" t="s">
        <v>3059</v>
      </c>
      <c r="X455" s="324" t="s">
        <v>3365</v>
      </c>
      <c r="Y455" s="324" t="s">
        <v>3400</v>
      </c>
      <c r="Z455" s="322" t="s">
        <v>3381</v>
      </c>
      <c r="AA455" s="392">
        <v>2887</v>
      </c>
    </row>
    <row r="456" spans="17:27" ht="13.8">
      <c r="Q456" s="385">
        <f t="shared" si="6"/>
        <v>450</v>
      </c>
      <c r="R456" s="386" t="s">
        <v>2516</v>
      </c>
      <c r="S456" s="386" t="s">
        <v>2517</v>
      </c>
      <c r="T456" s="387" t="s">
        <v>1229</v>
      </c>
      <c r="U456" s="385" t="s">
        <v>2518</v>
      </c>
      <c r="V456" s="385" t="s">
        <v>3060</v>
      </c>
      <c r="W456" s="386" t="s">
        <v>3060</v>
      </c>
      <c r="X456" s="324" t="s">
        <v>3365</v>
      </c>
      <c r="Y456" s="324" t="s">
        <v>3400</v>
      </c>
      <c r="Z456" s="322" t="s">
        <v>3381</v>
      </c>
      <c r="AA456" s="392">
        <v>1579</v>
      </c>
    </row>
    <row r="457" spans="17:27" ht="13.8">
      <c r="Q457" s="385">
        <f t="shared" ref="Q457:Q520" si="7">Q456+1</f>
        <v>451</v>
      </c>
      <c r="R457" s="386" t="s">
        <v>2519</v>
      </c>
      <c r="S457" s="386" t="s">
        <v>2520</v>
      </c>
      <c r="T457" s="387" t="s">
        <v>1246</v>
      </c>
      <c r="U457" s="385" t="s">
        <v>2521</v>
      </c>
      <c r="V457" s="385" t="s">
        <v>3356</v>
      </c>
      <c r="W457" s="386" t="s">
        <v>3356</v>
      </c>
      <c r="X457" s="324" t="s">
        <v>2858</v>
      </c>
      <c r="Y457" s="324" t="s">
        <v>3400</v>
      </c>
      <c r="Z457" s="322" t="s">
        <v>3381</v>
      </c>
      <c r="AA457" s="392">
        <v>16264</v>
      </c>
    </row>
    <row r="458" spans="17:27" ht="13.8">
      <c r="Q458" s="385">
        <f t="shared" si="7"/>
        <v>452</v>
      </c>
      <c r="R458" s="386" t="s">
        <v>2522</v>
      </c>
      <c r="S458" s="386" t="s">
        <v>2523</v>
      </c>
      <c r="T458" s="387" t="s">
        <v>1239</v>
      </c>
      <c r="U458" s="385" t="s">
        <v>2524</v>
      </c>
      <c r="V458" s="385" t="s">
        <v>2523</v>
      </c>
      <c r="W458" s="386" t="s">
        <v>3266</v>
      </c>
      <c r="X458" s="324" t="s">
        <v>3364</v>
      </c>
      <c r="Y458" s="324" t="s">
        <v>3401</v>
      </c>
      <c r="Z458" s="322" t="s">
        <v>3386</v>
      </c>
      <c r="AA458" s="392">
        <v>6490</v>
      </c>
    </row>
    <row r="459" spans="17:27" ht="13.8">
      <c r="Q459" s="385">
        <f t="shared" si="7"/>
        <v>453</v>
      </c>
      <c r="R459" s="386" t="s">
        <v>2525</v>
      </c>
      <c r="S459" s="386" t="s">
        <v>2526</v>
      </c>
      <c r="T459" s="387" t="s">
        <v>1346</v>
      </c>
      <c r="U459" s="385" t="s">
        <v>2527</v>
      </c>
      <c r="V459" s="385" t="s">
        <v>3061</v>
      </c>
      <c r="W459" s="386" t="s">
        <v>3061</v>
      </c>
      <c r="X459" s="324" t="s">
        <v>3365</v>
      </c>
      <c r="Y459" s="324" t="s">
        <v>3400</v>
      </c>
      <c r="Z459" s="322" t="s">
        <v>3381</v>
      </c>
      <c r="AA459" s="392">
        <v>516</v>
      </c>
    </row>
    <row r="460" spans="17:27" ht="13.8">
      <c r="Q460" s="385">
        <f t="shared" si="7"/>
        <v>454</v>
      </c>
      <c r="R460" s="386" t="s">
        <v>2528</v>
      </c>
      <c r="S460" s="386" t="s">
        <v>2529</v>
      </c>
      <c r="T460" s="387" t="s">
        <v>1229</v>
      </c>
      <c r="U460" s="385" t="s">
        <v>2530</v>
      </c>
      <c r="V460" s="385" t="s">
        <v>3062</v>
      </c>
      <c r="W460" s="386" t="s">
        <v>3062</v>
      </c>
      <c r="X460" s="324" t="s">
        <v>3365</v>
      </c>
      <c r="Y460" s="324" t="s">
        <v>3400</v>
      </c>
      <c r="Z460" s="322" t="s">
        <v>3381</v>
      </c>
      <c r="AA460" s="392">
        <v>1156</v>
      </c>
    </row>
    <row r="461" spans="17:27" ht="13.8">
      <c r="Q461" s="385">
        <f t="shared" si="7"/>
        <v>455</v>
      </c>
      <c r="R461" s="386" t="s">
        <v>2531</v>
      </c>
      <c r="S461" s="386" t="s">
        <v>2532</v>
      </c>
      <c r="T461" s="387" t="s">
        <v>1170</v>
      </c>
      <c r="U461" s="385" t="s">
        <v>2533</v>
      </c>
      <c r="V461" s="385" t="s">
        <v>3063</v>
      </c>
      <c r="W461" s="386" t="s">
        <v>3063</v>
      </c>
      <c r="X461" s="324" t="s">
        <v>3365</v>
      </c>
      <c r="Y461" s="324" t="s">
        <v>3400</v>
      </c>
      <c r="Z461" s="322" t="s">
        <v>3381</v>
      </c>
      <c r="AA461" s="392">
        <v>3809</v>
      </c>
    </row>
    <row r="462" spans="17:27" ht="13.8">
      <c r="Q462" s="385">
        <f t="shared" si="7"/>
        <v>456</v>
      </c>
      <c r="R462" s="386" t="s">
        <v>2534</v>
      </c>
      <c r="S462" s="386" t="s">
        <v>2535</v>
      </c>
      <c r="T462" s="387" t="s">
        <v>1170</v>
      </c>
      <c r="U462" s="385" t="s">
        <v>2536</v>
      </c>
      <c r="V462" s="385" t="s">
        <v>2535</v>
      </c>
      <c r="W462" s="386" t="s">
        <v>3063</v>
      </c>
      <c r="X462" s="324" t="s">
        <v>3364</v>
      </c>
      <c r="Y462" s="324" t="s">
        <v>3401</v>
      </c>
      <c r="Z462" s="322" t="s">
        <v>3383</v>
      </c>
      <c r="AA462" s="392">
        <v>1141</v>
      </c>
    </row>
    <row r="463" spans="17:27" ht="13.8">
      <c r="Q463" s="385">
        <f t="shared" si="7"/>
        <v>457</v>
      </c>
      <c r="R463" s="386" t="s">
        <v>2537</v>
      </c>
      <c r="S463" s="386" t="s">
        <v>2538</v>
      </c>
      <c r="T463" s="387" t="s">
        <v>1215</v>
      </c>
      <c r="U463" s="385" t="s">
        <v>2539</v>
      </c>
      <c r="V463" s="385" t="s">
        <v>3064</v>
      </c>
      <c r="W463" s="386" t="s">
        <v>3064</v>
      </c>
      <c r="X463" s="324" t="s">
        <v>3365</v>
      </c>
      <c r="Y463" s="324" t="s">
        <v>3400</v>
      </c>
      <c r="Z463" s="322" t="s">
        <v>3381</v>
      </c>
      <c r="AA463" s="392">
        <v>5151</v>
      </c>
    </row>
    <row r="464" spans="17:27" ht="13.8">
      <c r="Q464" s="385">
        <f t="shared" si="7"/>
        <v>458</v>
      </c>
      <c r="R464" s="386" t="s">
        <v>2540</v>
      </c>
      <c r="S464" s="386" t="s">
        <v>2541</v>
      </c>
      <c r="T464" s="387" t="s">
        <v>1174</v>
      </c>
      <c r="U464" s="385" t="s">
        <v>2542</v>
      </c>
      <c r="V464" s="385" t="s">
        <v>3339</v>
      </c>
      <c r="W464" s="386" t="s">
        <v>3339</v>
      </c>
      <c r="X464" s="324" t="s">
        <v>3366</v>
      </c>
      <c r="Y464" s="324" t="s">
        <v>3400</v>
      </c>
      <c r="Z464" s="322" t="s">
        <v>3382</v>
      </c>
      <c r="AA464" s="392">
        <v>10795</v>
      </c>
    </row>
    <row r="465" spans="17:27" ht="13.8">
      <c r="Q465" s="385">
        <f t="shared" si="7"/>
        <v>459</v>
      </c>
      <c r="R465" s="386" t="s">
        <v>2543</v>
      </c>
      <c r="S465" s="386" t="s">
        <v>2544</v>
      </c>
      <c r="T465" s="387" t="s">
        <v>1256</v>
      </c>
      <c r="U465" s="385" t="s">
        <v>2545</v>
      </c>
      <c r="V465" s="385" t="s">
        <v>3065</v>
      </c>
      <c r="W465" s="386" t="s">
        <v>3065</v>
      </c>
      <c r="X465" s="324" t="s">
        <v>3365</v>
      </c>
      <c r="Y465" s="324" t="s">
        <v>3400</v>
      </c>
      <c r="Z465" s="322" t="s">
        <v>3381</v>
      </c>
      <c r="AA465" s="392">
        <v>12098</v>
      </c>
    </row>
    <row r="466" spans="17:27" ht="13.8">
      <c r="Q466" s="385">
        <f t="shared" si="7"/>
        <v>460</v>
      </c>
      <c r="R466" s="386" t="s">
        <v>2546</v>
      </c>
      <c r="S466" s="386" t="s">
        <v>2547</v>
      </c>
      <c r="T466" s="387" t="s">
        <v>1401</v>
      </c>
      <c r="U466" s="385" t="s">
        <v>2548</v>
      </c>
      <c r="V466" s="385" t="s">
        <v>3340</v>
      </c>
      <c r="W466" s="386" t="s">
        <v>3340</v>
      </c>
      <c r="X466" s="324" t="s">
        <v>3366</v>
      </c>
      <c r="Y466" s="324" t="s">
        <v>3400</v>
      </c>
      <c r="Z466" s="322" t="s">
        <v>3389</v>
      </c>
      <c r="AA466" s="392">
        <v>8631</v>
      </c>
    </row>
    <row r="467" spans="17:27" ht="13.8">
      <c r="Q467" s="385">
        <f t="shared" si="7"/>
        <v>461</v>
      </c>
      <c r="R467" s="386" t="s">
        <v>2549</v>
      </c>
      <c r="S467" s="386" t="s">
        <v>2550</v>
      </c>
      <c r="T467" s="387" t="s">
        <v>1256</v>
      </c>
      <c r="U467" s="385" t="s">
        <v>2551</v>
      </c>
      <c r="V467" s="385" t="s">
        <v>3066</v>
      </c>
      <c r="W467" s="386" t="s">
        <v>3066</v>
      </c>
      <c r="X467" s="324" t="s">
        <v>3365</v>
      </c>
      <c r="Y467" s="324" t="s">
        <v>3400</v>
      </c>
      <c r="Z467" s="322" t="s">
        <v>3381</v>
      </c>
      <c r="AA467" s="392">
        <v>4563</v>
      </c>
    </row>
    <row r="468" spans="17:27" ht="13.8">
      <c r="Q468" s="385">
        <f t="shared" si="7"/>
        <v>462</v>
      </c>
      <c r="R468" s="386" t="s">
        <v>2552</v>
      </c>
      <c r="S468" s="386" t="s">
        <v>2553</v>
      </c>
      <c r="T468" s="387" t="s">
        <v>1401</v>
      </c>
      <c r="U468" s="385" t="s">
        <v>2554</v>
      </c>
      <c r="V468" s="385" t="s">
        <v>2553</v>
      </c>
      <c r="W468" s="386" t="s">
        <v>3267</v>
      </c>
      <c r="X468" s="324" t="s">
        <v>3364</v>
      </c>
      <c r="Y468" s="324" t="s">
        <v>3400</v>
      </c>
      <c r="Z468" s="322" t="s">
        <v>3384</v>
      </c>
      <c r="AA468" s="392">
        <v>43417</v>
      </c>
    </row>
    <row r="469" spans="17:27" ht="13.8">
      <c r="Q469" s="385">
        <f t="shared" si="7"/>
        <v>463</v>
      </c>
      <c r="R469" s="386" t="s">
        <v>2555</v>
      </c>
      <c r="S469" s="386" t="s">
        <v>2556</v>
      </c>
      <c r="T469" s="387" t="s">
        <v>1178</v>
      </c>
      <c r="U469" s="385" t="s">
        <v>2557</v>
      </c>
      <c r="V469" s="385" t="s">
        <v>2556</v>
      </c>
      <c r="W469" s="386" t="s">
        <v>3268</v>
      </c>
      <c r="X469" s="324" t="s">
        <v>3364</v>
      </c>
      <c r="Y469" s="324" t="s">
        <v>3401</v>
      </c>
      <c r="Z469" s="322" t="s">
        <v>3386</v>
      </c>
      <c r="AA469" s="392">
        <v>2378</v>
      </c>
    </row>
    <row r="470" spans="17:27" ht="13.8">
      <c r="Q470" s="385">
        <f t="shared" si="7"/>
        <v>464</v>
      </c>
      <c r="R470" s="386" t="s">
        <v>2558</v>
      </c>
      <c r="S470" s="386" t="s">
        <v>2559</v>
      </c>
      <c r="T470" s="387" t="s">
        <v>1435</v>
      </c>
      <c r="U470" s="385" t="s">
        <v>2560</v>
      </c>
      <c r="V470" s="385" t="s">
        <v>2559</v>
      </c>
      <c r="W470" s="386" t="s">
        <v>3269</v>
      </c>
      <c r="X470" s="324" t="s">
        <v>3364</v>
      </c>
      <c r="Y470" s="324" t="s">
        <v>3401</v>
      </c>
      <c r="Z470" s="322" t="s">
        <v>3386</v>
      </c>
      <c r="AA470" s="392">
        <v>3162</v>
      </c>
    </row>
    <row r="471" spans="17:27" ht="13.8">
      <c r="Q471" s="385">
        <f t="shared" si="7"/>
        <v>465</v>
      </c>
      <c r="R471" s="386" t="s">
        <v>2561</v>
      </c>
      <c r="S471" s="386" t="s">
        <v>2562</v>
      </c>
      <c r="T471" s="387" t="s">
        <v>1260</v>
      </c>
      <c r="U471" s="385" t="s">
        <v>2563</v>
      </c>
      <c r="V471" s="385" t="s">
        <v>2562</v>
      </c>
      <c r="W471" s="386" t="s">
        <v>2562</v>
      </c>
      <c r="X471" s="324" t="s">
        <v>3364</v>
      </c>
      <c r="Y471" s="324" t="s">
        <v>3404</v>
      </c>
      <c r="Z471" s="322" t="s">
        <v>3398</v>
      </c>
      <c r="AA471" s="392">
        <v>16198</v>
      </c>
    </row>
    <row r="472" spans="17:27" ht="13.8">
      <c r="Q472" s="385">
        <f t="shared" si="7"/>
        <v>466</v>
      </c>
      <c r="R472" s="386" t="s">
        <v>2564</v>
      </c>
      <c r="S472" s="386" t="s">
        <v>2565</v>
      </c>
      <c r="T472" s="387" t="s">
        <v>1401</v>
      </c>
      <c r="U472" s="385" t="s">
        <v>2566</v>
      </c>
      <c r="V472" s="385" t="s">
        <v>3067</v>
      </c>
      <c r="W472" s="386" t="s">
        <v>3067</v>
      </c>
      <c r="X472" s="324" t="s">
        <v>3365</v>
      </c>
      <c r="Y472" s="324" t="s">
        <v>3400</v>
      </c>
      <c r="Z472" s="322" t="s">
        <v>3381</v>
      </c>
      <c r="AA472" s="392">
        <v>23385</v>
      </c>
    </row>
    <row r="473" spans="17:27" ht="13.8">
      <c r="Q473" s="385">
        <f t="shared" si="7"/>
        <v>467</v>
      </c>
      <c r="R473" s="386" t="s">
        <v>2567</v>
      </c>
      <c r="S473" s="386" t="s">
        <v>2568</v>
      </c>
      <c r="T473" s="387" t="s">
        <v>1401</v>
      </c>
      <c r="U473" s="385" t="s">
        <v>2569</v>
      </c>
      <c r="V473" s="385" t="s">
        <v>3068</v>
      </c>
      <c r="W473" s="386" t="s">
        <v>3068</v>
      </c>
      <c r="X473" s="324" t="s">
        <v>3365</v>
      </c>
      <c r="Y473" s="324" t="s">
        <v>3400</v>
      </c>
      <c r="Z473" s="322" t="s">
        <v>3381</v>
      </c>
      <c r="AA473" s="392">
        <v>16008</v>
      </c>
    </row>
    <row r="474" spans="17:27" ht="13.8">
      <c r="Q474" s="385">
        <f t="shared" si="7"/>
        <v>468</v>
      </c>
      <c r="R474" s="386" t="s">
        <v>2570</v>
      </c>
      <c r="S474" s="386" t="s">
        <v>2571</v>
      </c>
      <c r="T474" s="387" t="s">
        <v>1229</v>
      </c>
      <c r="U474" s="385" t="s">
        <v>2572</v>
      </c>
      <c r="V474" s="385" t="s">
        <v>3069</v>
      </c>
      <c r="W474" s="386" t="s">
        <v>3069</v>
      </c>
      <c r="X474" s="324" t="s">
        <v>3365</v>
      </c>
      <c r="Y474" s="324" t="s">
        <v>3400</v>
      </c>
      <c r="Z474" s="322" t="s">
        <v>3381</v>
      </c>
      <c r="AA474" s="392">
        <v>3684</v>
      </c>
    </row>
    <row r="475" spans="17:27" ht="13.8">
      <c r="Q475" s="385">
        <f t="shared" si="7"/>
        <v>469</v>
      </c>
      <c r="R475" s="386" t="s">
        <v>2573</v>
      </c>
      <c r="S475" s="386" t="s">
        <v>2574</v>
      </c>
      <c r="T475" s="387" t="s">
        <v>1239</v>
      </c>
      <c r="U475" s="385" t="s">
        <v>2575</v>
      </c>
      <c r="V475" s="385" t="s">
        <v>2574</v>
      </c>
      <c r="W475" s="386" t="s">
        <v>3270</v>
      </c>
      <c r="X475" s="324" t="s">
        <v>3364</v>
      </c>
      <c r="Y475" s="324" t="s">
        <v>3401</v>
      </c>
      <c r="Z475" s="322" t="s">
        <v>3386</v>
      </c>
      <c r="AA475" s="392">
        <v>10464</v>
      </c>
    </row>
    <row r="476" spans="17:27" ht="13.8">
      <c r="Q476" s="385">
        <f t="shared" si="7"/>
        <v>470</v>
      </c>
      <c r="R476" s="386" t="s">
        <v>2576</v>
      </c>
      <c r="S476" s="386" t="s">
        <v>2577</v>
      </c>
      <c r="T476" s="387" t="s">
        <v>1199</v>
      </c>
      <c r="U476" s="385" t="s">
        <v>2578</v>
      </c>
      <c r="V476" s="385" t="s">
        <v>2577</v>
      </c>
      <c r="W476" s="386" t="s">
        <v>3271</v>
      </c>
      <c r="X476" s="324" t="s">
        <v>3364</v>
      </c>
      <c r="Y476" s="324" t="s">
        <v>3400</v>
      </c>
      <c r="Z476" s="322" t="s">
        <v>3387</v>
      </c>
      <c r="AA476" s="392">
        <v>19722</v>
      </c>
    </row>
    <row r="477" spans="17:27" ht="13.8">
      <c r="Q477" s="385">
        <f t="shared" si="7"/>
        <v>471</v>
      </c>
      <c r="R477" s="386" t="s">
        <v>2579</v>
      </c>
      <c r="S477" s="386" t="s">
        <v>2580</v>
      </c>
      <c r="T477" s="387" t="s">
        <v>1401</v>
      </c>
      <c r="U477" s="385" t="s">
        <v>2581</v>
      </c>
      <c r="V477" s="385" t="s">
        <v>3070</v>
      </c>
      <c r="W477" s="386" t="s">
        <v>3070</v>
      </c>
      <c r="X477" s="324" t="s">
        <v>3365</v>
      </c>
      <c r="Y477" s="324" t="s">
        <v>3400</v>
      </c>
      <c r="Z477" s="322" t="s">
        <v>3389</v>
      </c>
      <c r="AA477" s="392">
        <v>8257</v>
      </c>
    </row>
    <row r="478" spans="17:27" ht="13.8">
      <c r="Q478" s="385">
        <f t="shared" si="7"/>
        <v>472</v>
      </c>
      <c r="R478" s="386" t="s">
        <v>2582</v>
      </c>
      <c r="S478" s="386" t="s">
        <v>2583</v>
      </c>
      <c r="T478" s="387" t="s">
        <v>1170</v>
      </c>
      <c r="U478" s="385" t="s">
        <v>2584</v>
      </c>
      <c r="V478" s="385" t="s">
        <v>3071</v>
      </c>
      <c r="W478" s="386" t="s">
        <v>3071</v>
      </c>
      <c r="X478" s="324" t="s">
        <v>3365</v>
      </c>
      <c r="Y478" s="324" t="s">
        <v>3400</v>
      </c>
      <c r="Z478" s="322" t="s">
        <v>3381</v>
      </c>
      <c r="AA478" s="392">
        <v>2993</v>
      </c>
    </row>
    <row r="479" spans="17:27" ht="13.8">
      <c r="Q479" s="385">
        <f t="shared" si="7"/>
        <v>473</v>
      </c>
      <c r="R479" s="386" t="s">
        <v>2585</v>
      </c>
      <c r="S479" s="386" t="s">
        <v>2586</v>
      </c>
      <c r="T479" s="387" t="s">
        <v>1170</v>
      </c>
      <c r="U479" s="385" t="s">
        <v>2587</v>
      </c>
      <c r="V479" s="385" t="s">
        <v>3072</v>
      </c>
      <c r="W479" s="386" t="s">
        <v>3072</v>
      </c>
      <c r="X479" s="324" t="s">
        <v>3365</v>
      </c>
      <c r="Y479" s="324" t="s">
        <v>3400</v>
      </c>
      <c r="Z479" s="322" t="s">
        <v>3381</v>
      </c>
      <c r="AA479" s="392">
        <v>4713</v>
      </c>
    </row>
    <row r="480" spans="17:27" ht="13.8">
      <c r="Q480" s="385">
        <f t="shared" si="7"/>
        <v>474</v>
      </c>
      <c r="R480" s="386" t="s">
        <v>2588</v>
      </c>
      <c r="S480" s="386" t="s">
        <v>2589</v>
      </c>
      <c r="T480" s="387" t="s">
        <v>1239</v>
      </c>
      <c r="U480" s="385" t="s">
        <v>2590</v>
      </c>
      <c r="V480" s="385" t="s">
        <v>2589</v>
      </c>
      <c r="W480" s="386" t="s">
        <v>3272</v>
      </c>
      <c r="X480" s="324" t="s">
        <v>3364</v>
      </c>
      <c r="Y480" s="324" t="s">
        <v>3400</v>
      </c>
      <c r="Z480" s="322" t="s">
        <v>3387</v>
      </c>
      <c r="AA480" s="392">
        <v>3414</v>
      </c>
    </row>
    <row r="481" spans="17:27" ht="13.8">
      <c r="Q481" s="385">
        <f t="shared" si="7"/>
        <v>475</v>
      </c>
      <c r="R481" s="386" t="s">
        <v>2591</v>
      </c>
      <c r="S481" s="386" t="s">
        <v>2589</v>
      </c>
      <c r="T481" s="387" t="s">
        <v>1276</v>
      </c>
      <c r="U481" s="385" t="s">
        <v>2592</v>
      </c>
      <c r="V481" s="385" t="s">
        <v>2589</v>
      </c>
      <c r="W481" s="386" t="s">
        <v>3272</v>
      </c>
      <c r="X481" s="324" t="s">
        <v>3364</v>
      </c>
      <c r="Y481" s="324" t="s">
        <v>3401</v>
      </c>
      <c r="Z481" s="322" t="s">
        <v>3386</v>
      </c>
      <c r="AA481" s="392">
        <v>15817</v>
      </c>
    </row>
    <row r="482" spans="17:27" ht="13.8">
      <c r="Q482" s="385">
        <f t="shared" si="7"/>
        <v>476</v>
      </c>
      <c r="R482" s="386" t="s">
        <v>2593</v>
      </c>
      <c r="S482" s="386" t="s">
        <v>2594</v>
      </c>
      <c r="T482" s="387" t="s">
        <v>1229</v>
      </c>
      <c r="U482" s="385" t="s">
        <v>2595</v>
      </c>
      <c r="V482" s="385" t="s">
        <v>2594</v>
      </c>
      <c r="W482" s="386" t="s">
        <v>3273</v>
      </c>
      <c r="X482" s="324" t="s">
        <v>3364</v>
      </c>
      <c r="Y482" s="324" t="s">
        <v>3400</v>
      </c>
      <c r="Z482" s="322" t="s">
        <v>3381</v>
      </c>
      <c r="AA482" s="392">
        <v>26535</v>
      </c>
    </row>
    <row r="483" spans="17:27" ht="13.8">
      <c r="Q483" s="385">
        <f t="shared" si="7"/>
        <v>477</v>
      </c>
      <c r="R483" s="386" t="s">
        <v>2596</v>
      </c>
      <c r="S483" s="386" t="s">
        <v>2597</v>
      </c>
      <c r="T483" s="387" t="s">
        <v>1199</v>
      </c>
      <c r="U483" s="385" t="s">
        <v>2598</v>
      </c>
      <c r="V483" s="385" t="s">
        <v>3073</v>
      </c>
      <c r="W483" s="386" t="s">
        <v>3073</v>
      </c>
      <c r="X483" s="324" t="s">
        <v>3365</v>
      </c>
      <c r="Y483" s="324" t="s">
        <v>3400</v>
      </c>
      <c r="Z483" s="322" t="s">
        <v>3381</v>
      </c>
      <c r="AA483" s="392">
        <v>3610</v>
      </c>
    </row>
    <row r="484" spans="17:27" ht="13.8">
      <c r="Q484" s="385">
        <f t="shared" si="7"/>
        <v>478</v>
      </c>
      <c r="R484" s="386" t="s">
        <v>2599</v>
      </c>
      <c r="S484" s="386" t="s">
        <v>2600</v>
      </c>
      <c r="T484" s="387" t="s">
        <v>1199</v>
      </c>
      <c r="U484" s="385" t="s">
        <v>2601</v>
      </c>
      <c r="V484" s="385" t="s">
        <v>2600</v>
      </c>
      <c r="W484" s="386" t="s">
        <v>3274</v>
      </c>
      <c r="X484" s="324" t="s">
        <v>3364</v>
      </c>
      <c r="Y484" s="324" t="s">
        <v>3401</v>
      </c>
      <c r="Z484" s="322" t="s">
        <v>3386</v>
      </c>
      <c r="AA484" s="392">
        <v>4099</v>
      </c>
    </row>
    <row r="485" spans="17:27" ht="13.8">
      <c r="Q485" s="385">
        <f t="shared" si="7"/>
        <v>479</v>
      </c>
      <c r="R485" s="386" t="s">
        <v>2602</v>
      </c>
      <c r="S485" s="386" t="s">
        <v>2603</v>
      </c>
      <c r="T485" s="387" t="s">
        <v>1295</v>
      </c>
      <c r="U485" s="385" t="s">
        <v>2604</v>
      </c>
      <c r="V485" s="385" t="s">
        <v>3074</v>
      </c>
      <c r="W485" s="386" t="s">
        <v>3074</v>
      </c>
      <c r="X485" s="324" t="s">
        <v>3365</v>
      </c>
      <c r="Y485" s="324" t="s">
        <v>3400</v>
      </c>
      <c r="Z485" s="322" t="s">
        <v>3381</v>
      </c>
      <c r="AA485" s="392">
        <v>538</v>
      </c>
    </row>
    <row r="486" spans="17:27" ht="13.8">
      <c r="Q486" s="385">
        <f t="shared" si="7"/>
        <v>480</v>
      </c>
      <c r="R486" s="386" t="s">
        <v>2605</v>
      </c>
      <c r="S486" s="386" t="s">
        <v>2606</v>
      </c>
      <c r="T486" s="387" t="s">
        <v>1222</v>
      </c>
      <c r="U486" s="385" t="s">
        <v>2607</v>
      </c>
      <c r="V486" s="385" t="s">
        <v>3075</v>
      </c>
      <c r="W486" s="386" t="s">
        <v>3075</v>
      </c>
      <c r="X486" s="324" t="s">
        <v>3365</v>
      </c>
      <c r="Y486" s="324" t="s">
        <v>3400</v>
      </c>
      <c r="Z486" s="322" t="s">
        <v>3381</v>
      </c>
      <c r="AA486" s="392">
        <v>866</v>
      </c>
    </row>
    <row r="487" spans="17:27" ht="13.8">
      <c r="Q487" s="385">
        <f t="shared" si="7"/>
        <v>481</v>
      </c>
      <c r="R487" s="386" t="s">
        <v>2608</v>
      </c>
      <c r="S487" s="386" t="s">
        <v>2609</v>
      </c>
      <c r="T487" s="387" t="s">
        <v>1346</v>
      </c>
      <c r="U487" s="385" t="s">
        <v>2610</v>
      </c>
      <c r="V487" s="385" t="s">
        <v>2609</v>
      </c>
      <c r="W487" s="386" t="s">
        <v>3275</v>
      </c>
      <c r="X487" s="324" t="s">
        <v>3364</v>
      </c>
      <c r="Y487" s="324" t="s">
        <v>3401</v>
      </c>
      <c r="Z487" s="322" t="s">
        <v>3383</v>
      </c>
      <c r="AA487" s="392">
        <v>1431</v>
      </c>
    </row>
    <row r="488" spans="17:27" ht="13.8">
      <c r="Q488" s="385">
        <f t="shared" si="7"/>
        <v>482</v>
      </c>
      <c r="R488" s="386" t="s">
        <v>2611</v>
      </c>
      <c r="S488" s="386" t="s">
        <v>2612</v>
      </c>
      <c r="T488" s="387" t="s">
        <v>1215</v>
      </c>
      <c r="U488" s="385" t="s">
        <v>2613</v>
      </c>
      <c r="V488" s="385" t="s">
        <v>3076</v>
      </c>
      <c r="W488" s="386" t="s">
        <v>3076</v>
      </c>
      <c r="X488" s="324" t="s">
        <v>3365</v>
      </c>
      <c r="Y488" s="324" t="s">
        <v>3400</v>
      </c>
      <c r="Z488" s="322" t="s">
        <v>3381</v>
      </c>
      <c r="AA488" s="392">
        <v>7040</v>
      </c>
    </row>
    <row r="489" spans="17:27" ht="13.8">
      <c r="Q489" s="385">
        <f t="shared" si="7"/>
        <v>483</v>
      </c>
      <c r="R489" s="386" t="s">
        <v>2614</v>
      </c>
      <c r="S489" s="386" t="s">
        <v>2615</v>
      </c>
      <c r="T489" s="387" t="s">
        <v>1276</v>
      </c>
      <c r="U489" s="385" t="s">
        <v>2616</v>
      </c>
      <c r="V489" s="385" t="s">
        <v>3341</v>
      </c>
      <c r="W489" s="386" t="s">
        <v>3341</v>
      </c>
      <c r="X489" s="324" t="s">
        <v>3366</v>
      </c>
      <c r="Y489" s="324" t="s">
        <v>3400</v>
      </c>
      <c r="Z489" s="322" t="s">
        <v>3382</v>
      </c>
      <c r="AA489" s="392">
        <v>21457</v>
      </c>
    </row>
    <row r="490" spans="17:27" ht="13.8">
      <c r="Q490" s="385">
        <f t="shared" si="7"/>
        <v>484</v>
      </c>
      <c r="R490" s="386" t="s">
        <v>2617</v>
      </c>
      <c r="S490" s="386" t="s">
        <v>2618</v>
      </c>
      <c r="T490" s="387" t="s">
        <v>1229</v>
      </c>
      <c r="U490" s="385" t="s">
        <v>2619</v>
      </c>
      <c r="V490" s="385" t="s">
        <v>3077</v>
      </c>
      <c r="W490" s="386" t="s">
        <v>3342</v>
      </c>
      <c r="X490" s="324" t="s">
        <v>3365</v>
      </c>
      <c r="Y490" s="324" t="s">
        <v>3400</v>
      </c>
      <c r="Z490" s="322" t="s">
        <v>3381</v>
      </c>
      <c r="AA490" s="392">
        <v>1205</v>
      </c>
    </row>
    <row r="491" spans="17:27" ht="13.8">
      <c r="Q491" s="385">
        <f t="shared" si="7"/>
        <v>485</v>
      </c>
      <c r="R491" s="386" t="s">
        <v>2620</v>
      </c>
      <c r="S491" s="386" t="s">
        <v>2621</v>
      </c>
      <c r="T491" s="387" t="s">
        <v>1199</v>
      </c>
      <c r="U491" s="385" t="s">
        <v>2622</v>
      </c>
      <c r="V491" s="385" t="s">
        <v>1199</v>
      </c>
      <c r="W491" s="386" t="s">
        <v>1199</v>
      </c>
      <c r="X491" s="324" t="s">
        <v>3365</v>
      </c>
      <c r="Y491" s="324" t="s">
        <v>3400</v>
      </c>
      <c r="Z491" s="322" t="s">
        <v>3381</v>
      </c>
      <c r="AA491" s="392">
        <v>2130</v>
      </c>
    </row>
    <row r="492" spans="17:27" ht="13.8">
      <c r="Q492" s="385">
        <f t="shared" si="7"/>
        <v>486</v>
      </c>
      <c r="R492" s="386" t="s">
        <v>2623</v>
      </c>
      <c r="S492" s="386" t="s">
        <v>2624</v>
      </c>
      <c r="T492" s="387" t="s">
        <v>1435</v>
      </c>
      <c r="U492" s="385" t="s">
        <v>2625</v>
      </c>
      <c r="V492" s="385" t="s">
        <v>3078</v>
      </c>
      <c r="W492" s="386" t="s">
        <v>3078</v>
      </c>
      <c r="X492" s="324" t="s">
        <v>3365</v>
      </c>
      <c r="Y492" s="324" t="s">
        <v>3400</v>
      </c>
      <c r="Z492" s="322" t="s">
        <v>3381</v>
      </c>
      <c r="AA492" s="392">
        <v>2584</v>
      </c>
    </row>
    <row r="493" spans="17:27" ht="13.8">
      <c r="Q493" s="385">
        <f t="shared" si="7"/>
        <v>487</v>
      </c>
      <c r="R493" s="386" t="s">
        <v>2626</v>
      </c>
      <c r="S493" s="386" t="s">
        <v>2627</v>
      </c>
      <c r="T493" s="387" t="s">
        <v>1239</v>
      </c>
      <c r="U493" s="385" t="s">
        <v>2628</v>
      </c>
      <c r="V493" s="385" t="s">
        <v>2627</v>
      </c>
      <c r="W493" s="386" t="s">
        <v>3276</v>
      </c>
      <c r="X493" s="324" t="s">
        <v>3364</v>
      </c>
      <c r="Y493" s="324" t="s">
        <v>3401</v>
      </c>
      <c r="Z493" s="322" t="s">
        <v>3386</v>
      </c>
      <c r="AA493" s="392">
        <v>6949</v>
      </c>
    </row>
    <row r="494" spans="17:27" ht="13.8">
      <c r="Q494" s="385">
        <f t="shared" si="7"/>
        <v>488</v>
      </c>
      <c r="R494" s="386" t="s">
        <v>2629</v>
      </c>
      <c r="S494" s="386" t="s">
        <v>2630</v>
      </c>
      <c r="T494" s="387" t="s">
        <v>1215</v>
      </c>
      <c r="U494" s="385" t="s">
        <v>2631</v>
      </c>
      <c r="V494" s="385" t="s">
        <v>3079</v>
      </c>
      <c r="W494" s="386" t="s">
        <v>3079</v>
      </c>
      <c r="X494" s="324" t="s">
        <v>3365</v>
      </c>
      <c r="Y494" s="324" t="s">
        <v>3402</v>
      </c>
      <c r="Z494" s="322" t="s">
        <v>3385</v>
      </c>
      <c r="AA494" s="392">
        <v>5</v>
      </c>
    </row>
    <row r="495" spans="17:27" ht="13.8">
      <c r="Q495" s="385">
        <f t="shared" si="7"/>
        <v>489</v>
      </c>
      <c r="R495" s="386" t="s">
        <v>2632</v>
      </c>
      <c r="S495" s="386" t="s">
        <v>2633</v>
      </c>
      <c r="T495" s="387" t="s">
        <v>1178</v>
      </c>
      <c r="U495" s="385" t="s">
        <v>2634</v>
      </c>
      <c r="V495" s="385" t="s">
        <v>2633</v>
      </c>
      <c r="W495" s="386" t="s">
        <v>3277</v>
      </c>
      <c r="X495" s="324" t="s">
        <v>3364</v>
      </c>
      <c r="Y495" s="324" t="s">
        <v>3400</v>
      </c>
      <c r="Z495" s="322" t="s">
        <v>3390</v>
      </c>
      <c r="AA495" s="392">
        <v>39776</v>
      </c>
    </row>
    <row r="496" spans="17:27" ht="13.8">
      <c r="Q496" s="385">
        <f t="shared" si="7"/>
        <v>490</v>
      </c>
      <c r="R496" s="386" t="s">
        <v>2635</v>
      </c>
      <c r="S496" s="386" t="s">
        <v>2636</v>
      </c>
      <c r="T496" s="387" t="s">
        <v>1178</v>
      </c>
      <c r="U496" s="385" t="s">
        <v>2637</v>
      </c>
      <c r="V496" s="385" t="s">
        <v>3080</v>
      </c>
      <c r="W496" s="386" t="s">
        <v>3080</v>
      </c>
      <c r="X496" s="324" t="s">
        <v>3365</v>
      </c>
      <c r="Y496" s="324" t="s">
        <v>3400</v>
      </c>
      <c r="Z496" s="322" t="s">
        <v>3381</v>
      </c>
      <c r="AA496" s="392">
        <v>14488</v>
      </c>
    </row>
    <row r="497" spans="17:27" ht="13.8">
      <c r="Q497" s="385">
        <f t="shared" si="7"/>
        <v>491</v>
      </c>
      <c r="R497" s="386" t="s">
        <v>2638</v>
      </c>
      <c r="S497" s="386" t="s">
        <v>2639</v>
      </c>
      <c r="T497" s="387" t="s">
        <v>1178</v>
      </c>
      <c r="U497" s="385" t="s">
        <v>2640</v>
      </c>
      <c r="V497" s="385" t="s">
        <v>3081</v>
      </c>
      <c r="W497" s="386" t="s">
        <v>3081</v>
      </c>
      <c r="X497" s="324" t="s">
        <v>3365</v>
      </c>
      <c r="Y497" s="324" t="s">
        <v>3400</v>
      </c>
      <c r="Z497" s="322" t="s">
        <v>3387</v>
      </c>
      <c r="AA497" s="392">
        <v>67</v>
      </c>
    </row>
    <row r="498" spans="17:27" ht="13.8">
      <c r="Q498" s="385">
        <f t="shared" si="7"/>
        <v>492</v>
      </c>
      <c r="R498" s="386" t="s">
        <v>2641</v>
      </c>
      <c r="S498" s="386" t="s">
        <v>2642</v>
      </c>
      <c r="T498" s="387" t="s">
        <v>1295</v>
      </c>
      <c r="U498" s="385" t="s">
        <v>2643</v>
      </c>
      <c r="V498" s="385" t="s">
        <v>2642</v>
      </c>
      <c r="W498" s="386" t="s">
        <v>3278</v>
      </c>
      <c r="X498" s="324" t="s">
        <v>3364</v>
      </c>
      <c r="Y498" s="324" t="s">
        <v>3401</v>
      </c>
      <c r="Z498" s="322" t="s">
        <v>3386</v>
      </c>
      <c r="AA498" s="392">
        <v>5993</v>
      </c>
    </row>
    <row r="499" spans="17:27" ht="13.8">
      <c r="Q499" s="385">
        <f t="shared" si="7"/>
        <v>493</v>
      </c>
      <c r="R499" s="386" t="s">
        <v>2644</v>
      </c>
      <c r="S499" s="386" t="s">
        <v>2645</v>
      </c>
      <c r="T499" s="387" t="s">
        <v>1170</v>
      </c>
      <c r="U499" s="385" t="s">
        <v>2646</v>
      </c>
      <c r="V499" s="385" t="s">
        <v>3082</v>
      </c>
      <c r="W499" s="386" t="s">
        <v>3082</v>
      </c>
      <c r="X499" s="324" t="s">
        <v>3365</v>
      </c>
      <c r="Y499" s="324" t="s">
        <v>3400</v>
      </c>
      <c r="Z499" s="322" t="s">
        <v>3389</v>
      </c>
      <c r="AA499" s="392">
        <v>17892</v>
      </c>
    </row>
    <row r="500" spans="17:27" ht="13.8">
      <c r="Q500" s="385">
        <f t="shared" si="7"/>
        <v>494</v>
      </c>
      <c r="R500" s="386" t="s">
        <v>2647</v>
      </c>
      <c r="S500" s="386" t="s">
        <v>2648</v>
      </c>
      <c r="T500" s="387" t="s">
        <v>1229</v>
      </c>
      <c r="U500" s="385" t="s">
        <v>2649</v>
      </c>
      <c r="V500" s="385" t="s">
        <v>2648</v>
      </c>
      <c r="W500" s="386" t="s">
        <v>3279</v>
      </c>
      <c r="X500" s="324" t="s">
        <v>3364</v>
      </c>
      <c r="Y500" s="324" t="s">
        <v>3400</v>
      </c>
      <c r="Z500" s="322" t="s">
        <v>3382</v>
      </c>
      <c r="AA500" s="392">
        <v>91239</v>
      </c>
    </row>
    <row r="501" spans="17:27" ht="13.8">
      <c r="Q501" s="385">
        <f t="shared" si="7"/>
        <v>495</v>
      </c>
      <c r="R501" s="386" t="s">
        <v>2650</v>
      </c>
      <c r="S501" s="386" t="s">
        <v>2651</v>
      </c>
      <c r="T501" s="387" t="s">
        <v>1308</v>
      </c>
      <c r="U501" s="385" t="s">
        <v>2652</v>
      </c>
      <c r="V501" s="385" t="s">
        <v>3083</v>
      </c>
      <c r="W501" s="386" t="s">
        <v>3083</v>
      </c>
      <c r="X501" s="324" t="s">
        <v>3365</v>
      </c>
      <c r="Y501" s="324" t="s">
        <v>3400</v>
      </c>
      <c r="Z501" s="322" t="s">
        <v>3381</v>
      </c>
      <c r="AA501" s="392">
        <v>10804</v>
      </c>
    </row>
    <row r="502" spans="17:27" ht="13.8">
      <c r="Q502" s="385">
        <f t="shared" si="7"/>
        <v>496</v>
      </c>
      <c r="R502" s="386" t="s">
        <v>2653</v>
      </c>
      <c r="S502" s="386" t="s">
        <v>2654</v>
      </c>
      <c r="T502" s="387" t="s">
        <v>1541</v>
      </c>
      <c r="U502" s="385" t="s">
        <v>2655</v>
      </c>
      <c r="V502" s="385" t="s">
        <v>3343</v>
      </c>
      <c r="W502" s="386" t="s">
        <v>3343</v>
      </c>
      <c r="X502" s="324" t="s">
        <v>3366</v>
      </c>
      <c r="Y502" s="324" t="s">
        <v>3400</v>
      </c>
      <c r="Z502" s="322" t="s">
        <v>3382</v>
      </c>
      <c r="AA502" s="392">
        <v>84913</v>
      </c>
    </row>
    <row r="503" spans="17:27" ht="13.8">
      <c r="Q503" s="385">
        <f t="shared" si="7"/>
        <v>497</v>
      </c>
      <c r="R503" s="386" t="s">
        <v>2656</v>
      </c>
      <c r="S503" s="386" t="s">
        <v>2657</v>
      </c>
      <c r="T503" s="387" t="s">
        <v>1229</v>
      </c>
      <c r="U503" s="385" t="s">
        <v>2658</v>
      </c>
      <c r="V503" s="385" t="s">
        <v>3084</v>
      </c>
      <c r="W503" s="386" t="s">
        <v>3084</v>
      </c>
      <c r="X503" s="324" t="s">
        <v>3365</v>
      </c>
      <c r="Y503" s="324" t="s">
        <v>3400</v>
      </c>
      <c r="Z503" s="322" t="s">
        <v>3381</v>
      </c>
      <c r="AA503" s="392">
        <v>3347</v>
      </c>
    </row>
    <row r="504" spans="17:27" ht="13.8">
      <c r="Q504" s="385">
        <f t="shared" si="7"/>
        <v>498</v>
      </c>
      <c r="R504" s="386" t="s">
        <v>2659</v>
      </c>
      <c r="S504" s="386" t="s">
        <v>2660</v>
      </c>
      <c r="T504" s="387" t="s">
        <v>1170</v>
      </c>
      <c r="U504" s="385" t="s">
        <v>2661</v>
      </c>
      <c r="V504" s="385" t="s">
        <v>3085</v>
      </c>
      <c r="W504" s="386" t="s">
        <v>3085</v>
      </c>
      <c r="X504" s="324" t="s">
        <v>3365</v>
      </c>
      <c r="Y504" s="324" t="s">
        <v>3400</v>
      </c>
      <c r="Z504" s="322" t="s">
        <v>3381</v>
      </c>
      <c r="AA504" s="392">
        <v>6245</v>
      </c>
    </row>
    <row r="505" spans="17:27" ht="13.8">
      <c r="Q505" s="385">
        <f t="shared" si="7"/>
        <v>499</v>
      </c>
      <c r="R505" s="386" t="s">
        <v>2662</v>
      </c>
      <c r="S505" s="386" t="s">
        <v>2663</v>
      </c>
      <c r="T505" s="387" t="s">
        <v>1246</v>
      </c>
      <c r="U505" s="385" t="s">
        <v>2664</v>
      </c>
      <c r="V505" s="385" t="s">
        <v>3363</v>
      </c>
      <c r="W505" s="386" t="s">
        <v>3363</v>
      </c>
      <c r="X505" s="324" t="s">
        <v>3366</v>
      </c>
      <c r="Y505" s="324" t="s">
        <v>3402</v>
      </c>
      <c r="Z505" s="322" t="s">
        <v>3396</v>
      </c>
      <c r="AA505" s="392">
        <v>66455</v>
      </c>
    </row>
    <row r="506" spans="17:27" ht="13.8">
      <c r="Q506" s="385">
        <f t="shared" si="7"/>
        <v>500</v>
      </c>
      <c r="R506" s="386" t="s">
        <v>2665</v>
      </c>
      <c r="S506" s="386" t="s">
        <v>2666</v>
      </c>
      <c r="T506" s="387" t="s">
        <v>1295</v>
      </c>
      <c r="U506" s="385" t="s">
        <v>2667</v>
      </c>
      <c r="V506" s="385" t="s">
        <v>2666</v>
      </c>
      <c r="W506" s="386" t="s">
        <v>1276</v>
      </c>
      <c r="X506" s="324" t="s">
        <v>3364</v>
      </c>
      <c r="Y506" s="324" t="s">
        <v>3401</v>
      </c>
      <c r="Z506" s="322" t="s">
        <v>3386</v>
      </c>
      <c r="AA506" s="392">
        <v>5908</v>
      </c>
    </row>
    <row r="507" spans="17:27" ht="13.8">
      <c r="Q507" s="385">
        <f t="shared" si="7"/>
        <v>501</v>
      </c>
      <c r="R507" s="386" t="s">
        <v>2668</v>
      </c>
      <c r="S507" s="386" t="s">
        <v>2666</v>
      </c>
      <c r="T507" s="387" t="s">
        <v>1276</v>
      </c>
      <c r="U507" s="385" t="s">
        <v>2669</v>
      </c>
      <c r="V507" s="385" t="s">
        <v>2666</v>
      </c>
      <c r="W507" s="386" t="s">
        <v>1276</v>
      </c>
      <c r="X507" s="324" t="s">
        <v>3364</v>
      </c>
      <c r="Y507" s="324" t="s">
        <v>3401</v>
      </c>
      <c r="Z507" s="322" t="s">
        <v>3386</v>
      </c>
      <c r="AA507" s="392">
        <v>56642</v>
      </c>
    </row>
    <row r="508" spans="17:27" ht="13.8">
      <c r="Q508" s="385">
        <f t="shared" si="7"/>
        <v>502</v>
      </c>
      <c r="R508" s="386" t="s">
        <v>2670</v>
      </c>
      <c r="S508" s="386" t="s">
        <v>2671</v>
      </c>
      <c r="T508" s="387" t="s">
        <v>1346</v>
      </c>
      <c r="U508" s="385" t="s">
        <v>2672</v>
      </c>
      <c r="V508" s="385" t="s">
        <v>2671</v>
      </c>
      <c r="W508" s="386" t="s">
        <v>3280</v>
      </c>
      <c r="X508" s="324" t="s">
        <v>3364</v>
      </c>
      <c r="Y508" s="324" t="s">
        <v>3401</v>
      </c>
      <c r="Z508" s="322" t="s">
        <v>3386</v>
      </c>
      <c r="AA508" s="392">
        <v>7660</v>
      </c>
    </row>
    <row r="509" spans="17:27" ht="13.8">
      <c r="Q509" s="385">
        <f t="shared" si="7"/>
        <v>503</v>
      </c>
      <c r="R509" s="386" t="s">
        <v>2673</v>
      </c>
      <c r="S509" s="386" t="s">
        <v>2674</v>
      </c>
      <c r="T509" s="387" t="s">
        <v>1170</v>
      </c>
      <c r="U509" s="385" t="s">
        <v>2675</v>
      </c>
      <c r="V509" s="385" t="s">
        <v>2674</v>
      </c>
      <c r="W509" s="386" t="s">
        <v>3281</v>
      </c>
      <c r="X509" s="324" t="s">
        <v>3364</v>
      </c>
      <c r="Y509" s="324" t="s">
        <v>3401</v>
      </c>
      <c r="Z509" s="322" t="s">
        <v>3386</v>
      </c>
      <c r="AA509" s="392">
        <v>6902</v>
      </c>
    </row>
    <row r="510" spans="17:27" ht="13.8">
      <c r="Q510" s="385">
        <f t="shared" si="7"/>
        <v>504</v>
      </c>
      <c r="R510" s="386" t="s">
        <v>2676</v>
      </c>
      <c r="S510" s="386" t="s">
        <v>2677</v>
      </c>
      <c r="T510" s="387" t="s">
        <v>1188</v>
      </c>
      <c r="U510" s="385" t="s">
        <v>2678</v>
      </c>
      <c r="V510" s="385" t="s">
        <v>2677</v>
      </c>
      <c r="W510" s="386" t="s">
        <v>3282</v>
      </c>
      <c r="X510" s="324" t="s">
        <v>3364</v>
      </c>
      <c r="Y510" s="324" t="s">
        <v>3401</v>
      </c>
      <c r="Z510" s="322" t="s">
        <v>3386</v>
      </c>
      <c r="AA510" s="392">
        <v>3505</v>
      </c>
    </row>
    <row r="511" spans="17:27" ht="13.8">
      <c r="Q511" s="385">
        <f t="shared" si="7"/>
        <v>505</v>
      </c>
      <c r="R511" s="386" t="s">
        <v>2679</v>
      </c>
      <c r="S511" s="386" t="s">
        <v>2680</v>
      </c>
      <c r="T511" s="387" t="s">
        <v>1178</v>
      </c>
      <c r="U511" s="385" t="s">
        <v>2681</v>
      </c>
      <c r="V511" s="385" t="s">
        <v>3086</v>
      </c>
      <c r="W511" s="386" t="s">
        <v>3086</v>
      </c>
      <c r="X511" s="324" t="s">
        <v>3365</v>
      </c>
      <c r="Y511" s="324" t="s">
        <v>3400</v>
      </c>
      <c r="Z511" s="322" t="s">
        <v>3381</v>
      </c>
      <c r="AA511" s="392">
        <v>8208</v>
      </c>
    </row>
    <row r="512" spans="17:27" ht="13.8">
      <c r="Q512" s="385">
        <f t="shared" si="7"/>
        <v>506</v>
      </c>
      <c r="R512" s="386" t="s">
        <v>2682</v>
      </c>
      <c r="S512" s="386" t="s">
        <v>2683</v>
      </c>
      <c r="T512" s="387" t="s">
        <v>1222</v>
      </c>
      <c r="U512" s="385" t="s">
        <v>2684</v>
      </c>
      <c r="V512" s="385" t="s">
        <v>2683</v>
      </c>
      <c r="W512" s="386" t="s">
        <v>3283</v>
      </c>
      <c r="X512" s="324" t="s">
        <v>3364</v>
      </c>
      <c r="Y512" s="324" t="s">
        <v>3401</v>
      </c>
      <c r="Z512" s="322" t="s">
        <v>3386</v>
      </c>
      <c r="AA512" s="392">
        <v>12373</v>
      </c>
    </row>
    <row r="513" spans="17:27" ht="13.8">
      <c r="Q513" s="385">
        <f t="shared" si="7"/>
        <v>507</v>
      </c>
      <c r="R513" s="386" t="s">
        <v>2685</v>
      </c>
      <c r="S513" s="386" t="s">
        <v>2686</v>
      </c>
      <c r="T513" s="387" t="s">
        <v>1174</v>
      </c>
      <c r="U513" s="385" t="s">
        <v>2687</v>
      </c>
      <c r="V513" s="385" t="s">
        <v>2686</v>
      </c>
      <c r="W513" s="386" t="s">
        <v>2686</v>
      </c>
      <c r="X513" s="324" t="s">
        <v>3366</v>
      </c>
      <c r="Y513" s="324" t="s">
        <v>3402</v>
      </c>
      <c r="Z513" s="322" t="s">
        <v>3385</v>
      </c>
      <c r="AA513" s="392">
        <v>10650</v>
      </c>
    </row>
    <row r="514" spans="17:27" ht="13.8">
      <c r="Q514" s="385">
        <f t="shared" si="7"/>
        <v>508</v>
      </c>
      <c r="R514" s="386" t="s">
        <v>2688</v>
      </c>
      <c r="S514" s="386" t="s">
        <v>2689</v>
      </c>
      <c r="T514" s="387" t="s">
        <v>1199</v>
      </c>
      <c r="U514" s="385" t="s">
        <v>2690</v>
      </c>
      <c r="V514" s="385" t="s">
        <v>2689</v>
      </c>
      <c r="W514" s="386" t="s">
        <v>3284</v>
      </c>
      <c r="X514" s="324" t="s">
        <v>3364</v>
      </c>
      <c r="Y514" s="324" t="s">
        <v>3400</v>
      </c>
      <c r="Z514" s="322" t="s">
        <v>3387</v>
      </c>
      <c r="AA514" s="392">
        <v>23943</v>
      </c>
    </row>
    <row r="515" spans="17:27" ht="13.8">
      <c r="Q515" s="385">
        <f t="shared" si="7"/>
        <v>509</v>
      </c>
      <c r="R515" s="386" t="s">
        <v>2691</v>
      </c>
      <c r="S515" s="386" t="s">
        <v>2692</v>
      </c>
      <c r="T515" s="387" t="s">
        <v>1260</v>
      </c>
      <c r="U515" s="385" t="s">
        <v>2693</v>
      </c>
      <c r="V515" s="385" t="s">
        <v>2692</v>
      </c>
      <c r="W515" s="386" t="s">
        <v>3285</v>
      </c>
      <c r="X515" s="324" t="s">
        <v>3364</v>
      </c>
      <c r="Y515" s="324" t="s">
        <v>3400</v>
      </c>
      <c r="Z515" s="322" t="s">
        <v>3387</v>
      </c>
      <c r="AA515" s="392">
        <v>13332</v>
      </c>
    </row>
    <row r="516" spans="17:27" ht="13.8">
      <c r="Q516" s="385">
        <f t="shared" si="7"/>
        <v>510</v>
      </c>
      <c r="R516" s="386" t="s">
        <v>2694</v>
      </c>
      <c r="S516" s="386" t="s">
        <v>2695</v>
      </c>
      <c r="T516" s="387" t="s">
        <v>1318</v>
      </c>
      <c r="U516" s="385" t="s">
        <v>2696</v>
      </c>
      <c r="V516" s="385" t="s">
        <v>3087</v>
      </c>
      <c r="W516" s="386" t="s">
        <v>3087</v>
      </c>
      <c r="X516" s="324" t="s">
        <v>3365</v>
      </c>
      <c r="Y516" s="324" t="s">
        <v>3400</v>
      </c>
      <c r="Z516" s="322" t="s">
        <v>3381</v>
      </c>
      <c r="AA516" s="392">
        <v>1520</v>
      </c>
    </row>
    <row r="517" spans="17:27" ht="13.8">
      <c r="Q517" s="385">
        <f t="shared" si="7"/>
        <v>511</v>
      </c>
      <c r="R517" s="386" t="s">
        <v>2697</v>
      </c>
      <c r="S517" s="386" t="s">
        <v>2698</v>
      </c>
      <c r="T517" s="387" t="s">
        <v>1346</v>
      </c>
      <c r="U517" s="385" t="s">
        <v>2699</v>
      </c>
      <c r="V517" s="385" t="s">
        <v>3344</v>
      </c>
      <c r="W517" s="386" t="s">
        <v>3344</v>
      </c>
      <c r="X517" s="324" t="s">
        <v>3366</v>
      </c>
      <c r="Y517" s="324" t="s">
        <v>3400</v>
      </c>
      <c r="Z517" s="322" t="s">
        <v>3389</v>
      </c>
      <c r="AA517" s="392">
        <v>60724</v>
      </c>
    </row>
    <row r="518" spans="17:27" ht="13.8">
      <c r="Q518" s="385">
        <f t="shared" si="7"/>
        <v>512</v>
      </c>
      <c r="R518" s="386" t="s">
        <v>2700</v>
      </c>
      <c r="S518" s="386" t="s">
        <v>2701</v>
      </c>
      <c r="T518" s="387" t="s">
        <v>1215</v>
      </c>
      <c r="U518" s="385" t="s">
        <v>2702</v>
      </c>
      <c r="V518" s="385" t="s">
        <v>2701</v>
      </c>
      <c r="W518" s="386" t="s">
        <v>3286</v>
      </c>
      <c r="X518" s="324" t="s">
        <v>3364</v>
      </c>
      <c r="Y518" s="324" t="s">
        <v>3401</v>
      </c>
      <c r="Z518" s="322" t="s">
        <v>3386</v>
      </c>
      <c r="AA518" s="392">
        <v>29131</v>
      </c>
    </row>
    <row r="519" spans="17:27" ht="13.8">
      <c r="Q519" s="385">
        <f t="shared" si="7"/>
        <v>513</v>
      </c>
      <c r="R519" s="386" t="s">
        <v>2703</v>
      </c>
      <c r="S519" s="386" t="s">
        <v>2704</v>
      </c>
      <c r="T519" s="387" t="s">
        <v>1178</v>
      </c>
      <c r="U519" s="385" t="s">
        <v>2705</v>
      </c>
      <c r="V519" s="385" t="s">
        <v>3088</v>
      </c>
      <c r="W519" s="386" t="s">
        <v>3088</v>
      </c>
      <c r="X519" s="324" t="s">
        <v>3365</v>
      </c>
      <c r="Y519" s="324" t="s">
        <v>3400</v>
      </c>
      <c r="Z519" s="322" t="s">
        <v>3381</v>
      </c>
      <c r="AA519" s="392">
        <v>9625</v>
      </c>
    </row>
    <row r="520" spans="17:27" ht="13.8">
      <c r="Q520" s="385">
        <f t="shared" si="7"/>
        <v>514</v>
      </c>
      <c r="R520" s="386" t="s">
        <v>2706</v>
      </c>
      <c r="S520" s="386" t="s">
        <v>2707</v>
      </c>
      <c r="T520" s="387" t="s">
        <v>1170</v>
      </c>
      <c r="U520" s="385" t="s">
        <v>2708</v>
      </c>
      <c r="V520" s="385" t="s">
        <v>2707</v>
      </c>
      <c r="W520" s="386" t="s">
        <v>3287</v>
      </c>
      <c r="X520" s="324" t="s">
        <v>3364</v>
      </c>
      <c r="Y520" s="324" t="s">
        <v>3401</v>
      </c>
      <c r="Z520" s="322" t="s">
        <v>3386</v>
      </c>
      <c r="AA520" s="392">
        <v>26164</v>
      </c>
    </row>
    <row r="521" spans="17:27" ht="13.8">
      <c r="Q521" s="385">
        <f t="shared" ref="Q521:Q584" si="8">Q520+1</f>
        <v>515</v>
      </c>
      <c r="R521" s="386" t="s">
        <v>2709</v>
      </c>
      <c r="S521" s="386" t="s">
        <v>2710</v>
      </c>
      <c r="T521" s="387" t="s">
        <v>1178</v>
      </c>
      <c r="U521" s="385" t="s">
        <v>2711</v>
      </c>
      <c r="V521" s="385" t="s">
        <v>3089</v>
      </c>
      <c r="W521" s="386" t="s">
        <v>3089</v>
      </c>
      <c r="X521" s="324" t="s">
        <v>3365</v>
      </c>
      <c r="Y521" s="324" t="s">
        <v>3400</v>
      </c>
      <c r="Z521" s="322" t="s">
        <v>3381</v>
      </c>
      <c r="AA521" s="392">
        <v>11335</v>
      </c>
    </row>
    <row r="522" spans="17:27" ht="13.8">
      <c r="Q522" s="385">
        <f t="shared" si="8"/>
        <v>516</v>
      </c>
      <c r="R522" s="386" t="s">
        <v>2712</v>
      </c>
      <c r="S522" s="386" t="s">
        <v>2713</v>
      </c>
      <c r="T522" s="387" t="s">
        <v>1199</v>
      </c>
      <c r="U522" s="385" t="s">
        <v>2714</v>
      </c>
      <c r="V522" s="385" t="s">
        <v>2713</v>
      </c>
      <c r="W522" s="386" t="s">
        <v>3288</v>
      </c>
      <c r="X522" s="324" t="s">
        <v>3364</v>
      </c>
      <c r="Y522" s="324" t="s">
        <v>3401</v>
      </c>
      <c r="Z522" s="322" t="s">
        <v>3383</v>
      </c>
      <c r="AA522" s="392">
        <v>16</v>
      </c>
    </row>
    <row r="523" spans="17:27" ht="13.8">
      <c r="Q523" s="385">
        <f t="shared" si="8"/>
        <v>517</v>
      </c>
      <c r="R523" s="386" t="s">
        <v>2715</v>
      </c>
      <c r="S523" s="386" t="s">
        <v>2716</v>
      </c>
      <c r="T523" s="387" t="s">
        <v>1308</v>
      </c>
      <c r="U523" s="385" t="s">
        <v>2717</v>
      </c>
      <c r="V523" s="385" t="s">
        <v>3090</v>
      </c>
      <c r="W523" s="386" t="s">
        <v>3090</v>
      </c>
      <c r="X523" s="324" t="s">
        <v>3365</v>
      </c>
      <c r="Y523" s="324" t="s">
        <v>3400</v>
      </c>
      <c r="Z523" s="322" t="s">
        <v>3381</v>
      </c>
      <c r="AA523" s="392">
        <v>11116</v>
      </c>
    </row>
    <row r="524" spans="17:27" ht="13.8">
      <c r="Q524" s="385">
        <f t="shared" si="8"/>
        <v>518</v>
      </c>
      <c r="R524" s="386" t="s">
        <v>2718</v>
      </c>
      <c r="S524" s="386" t="s">
        <v>2719</v>
      </c>
      <c r="T524" s="387" t="s">
        <v>1199</v>
      </c>
      <c r="U524" s="385" t="s">
        <v>2720</v>
      </c>
      <c r="V524" s="385" t="s">
        <v>2719</v>
      </c>
      <c r="W524" s="386" t="s">
        <v>3289</v>
      </c>
      <c r="X524" s="324" t="s">
        <v>3364</v>
      </c>
      <c r="Y524" s="324" t="s">
        <v>3401</v>
      </c>
      <c r="Z524" s="322" t="s">
        <v>3383</v>
      </c>
      <c r="AA524" s="392">
        <v>11358</v>
      </c>
    </row>
    <row r="525" spans="17:27" ht="13.8">
      <c r="Q525" s="385">
        <f t="shared" si="8"/>
        <v>519</v>
      </c>
      <c r="R525" s="386" t="s">
        <v>2721</v>
      </c>
      <c r="S525" s="386" t="s">
        <v>2722</v>
      </c>
      <c r="T525" s="387" t="s">
        <v>1256</v>
      </c>
      <c r="U525" s="385" t="s">
        <v>2723</v>
      </c>
      <c r="V525" s="385" t="s">
        <v>2722</v>
      </c>
      <c r="W525" s="386" t="s">
        <v>1192</v>
      </c>
      <c r="X525" s="324" t="s">
        <v>3364</v>
      </c>
      <c r="Y525" s="324" t="s">
        <v>3401</v>
      </c>
      <c r="Z525" s="322" t="s">
        <v>3386</v>
      </c>
      <c r="AA525" s="392">
        <v>15311</v>
      </c>
    </row>
    <row r="526" spans="17:27" ht="13.8">
      <c r="Q526" s="385">
        <f t="shared" si="8"/>
        <v>520</v>
      </c>
      <c r="R526" s="386" t="s">
        <v>2724</v>
      </c>
      <c r="S526" s="386" t="s">
        <v>2725</v>
      </c>
      <c r="T526" s="387" t="s">
        <v>1192</v>
      </c>
      <c r="U526" s="385" t="s">
        <v>2726</v>
      </c>
      <c r="V526" s="385" t="s">
        <v>3091</v>
      </c>
      <c r="W526" s="386" t="s">
        <v>3091</v>
      </c>
      <c r="X526" s="324" t="s">
        <v>3365</v>
      </c>
      <c r="Y526" s="324" t="s">
        <v>3400</v>
      </c>
      <c r="Z526" s="322" t="s">
        <v>3381</v>
      </c>
      <c r="AA526" s="392">
        <v>6461</v>
      </c>
    </row>
    <row r="527" spans="17:27" ht="13.8">
      <c r="Q527" s="385">
        <f t="shared" si="8"/>
        <v>521</v>
      </c>
      <c r="R527" s="386" t="s">
        <v>2727</v>
      </c>
      <c r="S527" s="386" t="s">
        <v>2728</v>
      </c>
      <c r="T527" s="387" t="s">
        <v>1178</v>
      </c>
      <c r="U527" s="385" t="s">
        <v>2729</v>
      </c>
      <c r="V527" s="385" t="s">
        <v>2728</v>
      </c>
      <c r="W527" s="386" t="s">
        <v>3091</v>
      </c>
      <c r="X527" s="324" t="s">
        <v>3364</v>
      </c>
      <c r="Y527" s="324" t="s">
        <v>3400</v>
      </c>
      <c r="Z527" s="322" t="s">
        <v>3389</v>
      </c>
      <c r="AA527" s="392">
        <v>9102</v>
      </c>
    </row>
    <row r="528" spans="17:27" ht="13.8">
      <c r="Q528" s="385">
        <f t="shared" si="8"/>
        <v>522</v>
      </c>
      <c r="R528" s="386" t="s">
        <v>2730</v>
      </c>
      <c r="S528" s="386" t="s">
        <v>2728</v>
      </c>
      <c r="T528" s="387" t="s">
        <v>1239</v>
      </c>
      <c r="U528" s="385" t="s">
        <v>2731</v>
      </c>
      <c r="V528" s="385" t="s">
        <v>2728</v>
      </c>
      <c r="W528" s="386" t="s">
        <v>3091</v>
      </c>
      <c r="X528" s="324" t="s">
        <v>3364</v>
      </c>
      <c r="Y528" s="324" t="s">
        <v>3401</v>
      </c>
      <c r="Z528" s="322" t="s">
        <v>3383</v>
      </c>
      <c r="AA528" s="392">
        <v>687</v>
      </c>
    </row>
    <row r="529" spans="17:27" ht="13.8">
      <c r="Q529" s="385">
        <f t="shared" si="8"/>
        <v>523</v>
      </c>
      <c r="R529" s="386" t="s">
        <v>2732</v>
      </c>
      <c r="S529" s="386" t="s">
        <v>2728</v>
      </c>
      <c r="T529" s="387" t="s">
        <v>1435</v>
      </c>
      <c r="U529" s="385" t="s">
        <v>2733</v>
      </c>
      <c r="V529" s="385" t="s">
        <v>2728</v>
      </c>
      <c r="W529" s="386" t="s">
        <v>3091</v>
      </c>
      <c r="X529" s="324" t="s">
        <v>3364</v>
      </c>
      <c r="Y529" s="324" t="s">
        <v>3400</v>
      </c>
      <c r="Z529" s="322" t="s">
        <v>3389</v>
      </c>
      <c r="AA529" s="392">
        <v>48559</v>
      </c>
    </row>
    <row r="530" spans="17:27" ht="13.8">
      <c r="Q530" s="385">
        <f t="shared" si="8"/>
        <v>524</v>
      </c>
      <c r="R530" s="386" t="s">
        <v>2734</v>
      </c>
      <c r="S530" s="386" t="s">
        <v>2728</v>
      </c>
      <c r="T530" s="387" t="s">
        <v>1318</v>
      </c>
      <c r="U530" s="385" t="s">
        <v>2735</v>
      </c>
      <c r="V530" s="385" t="s">
        <v>2728</v>
      </c>
      <c r="W530" s="386" t="s">
        <v>3091</v>
      </c>
      <c r="X530" s="324" t="s">
        <v>3364</v>
      </c>
      <c r="Y530" s="324" t="s">
        <v>3401</v>
      </c>
      <c r="Z530" s="322" t="s">
        <v>3386</v>
      </c>
      <c r="AA530" s="392">
        <v>18533</v>
      </c>
    </row>
    <row r="531" spans="17:27" ht="13.8">
      <c r="Q531" s="385">
        <f t="shared" si="8"/>
        <v>525</v>
      </c>
      <c r="R531" s="386" t="s">
        <v>2736</v>
      </c>
      <c r="S531" s="386" t="s">
        <v>2728</v>
      </c>
      <c r="T531" s="387" t="s">
        <v>1192</v>
      </c>
      <c r="U531" s="385" t="s">
        <v>2737</v>
      </c>
      <c r="V531" s="385" t="s">
        <v>2728</v>
      </c>
      <c r="W531" s="386" t="s">
        <v>3091</v>
      </c>
      <c r="X531" s="324" t="s">
        <v>3364</v>
      </c>
      <c r="Y531" s="324" t="s">
        <v>3401</v>
      </c>
      <c r="Z531" s="322" t="s">
        <v>3386</v>
      </c>
      <c r="AA531" s="392">
        <v>6651</v>
      </c>
    </row>
    <row r="532" spans="17:27" ht="13.8">
      <c r="Q532" s="385">
        <f t="shared" si="8"/>
        <v>526</v>
      </c>
      <c r="R532" s="386" t="s">
        <v>2738</v>
      </c>
      <c r="S532" s="386" t="s">
        <v>2739</v>
      </c>
      <c r="T532" s="387" t="s">
        <v>1256</v>
      </c>
      <c r="U532" s="385" t="s">
        <v>2740</v>
      </c>
      <c r="V532" s="385" t="s">
        <v>3092</v>
      </c>
      <c r="W532" s="386" t="s">
        <v>3092</v>
      </c>
      <c r="X532" s="324" t="s">
        <v>3365</v>
      </c>
      <c r="Y532" s="324" t="s">
        <v>3400</v>
      </c>
      <c r="Z532" s="322" t="s">
        <v>3381</v>
      </c>
      <c r="AA532" s="392">
        <v>5801</v>
      </c>
    </row>
    <row r="533" spans="17:27" ht="13.8">
      <c r="Q533" s="385">
        <f t="shared" si="8"/>
        <v>527</v>
      </c>
      <c r="R533" s="386" t="s">
        <v>2741</v>
      </c>
      <c r="S533" s="386" t="s">
        <v>2742</v>
      </c>
      <c r="T533" s="387" t="s">
        <v>1215</v>
      </c>
      <c r="U533" s="385" t="s">
        <v>2743</v>
      </c>
      <c r="V533" s="385" t="s">
        <v>2742</v>
      </c>
      <c r="W533" s="386" t="s">
        <v>3290</v>
      </c>
      <c r="X533" s="324" t="s">
        <v>3364</v>
      </c>
      <c r="Y533" s="324" t="s">
        <v>3401</v>
      </c>
      <c r="Z533" s="322" t="s">
        <v>3386</v>
      </c>
      <c r="AA533" s="392">
        <v>10649</v>
      </c>
    </row>
    <row r="534" spans="17:27" ht="13.8">
      <c r="Q534" s="385">
        <f t="shared" si="8"/>
        <v>528</v>
      </c>
      <c r="R534" s="386" t="s">
        <v>2744</v>
      </c>
      <c r="S534" s="386" t="s">
        <v>2745</v>
      </c>
      <c r="T534" s="387" t="s">
        <v>1308</v>
      </c>
      <c r="U534" s="385" t="s">
        <v>2746</v>
      </c>
      <c r="V534" s="385" t="s">
        <v>2745</v>
      </c>
      <c r="W534" s="386" t="s">
        <v>3291</v>
      </c>
      <c r="X534" s="324" t="s">
        <v>3364</v>
      </c>
      <c r="Y534" s="324" t="s">
        <v>3400</v>
      </c>
      <c r="Z534" s="322" t="s">
        <v>3388</v>
      </c>
      <c r="AA534" s="392">
        <v>54717</v>
      </c>
    </row>
    <row r="535" spans="17:27" ht="13.8">
      <c r="Q535" s="385">
        <f t="shared" si="8"/>
        <v>529</v>
      </c>
      <c r="R535" s="386" t="s">
        <v>2747</v>
      </c>
      <c r="S535" s="386" t="s">
        <v>2748</v>
      </c>
      <c r="T535" s="387" t="s">
        <v>1246</v>
      </c>
      <c r="U535" s="385" t="s">
        <v>2749</v>
      </c>
      <c r="V535" s="385" t="s">
        <v>2748</v>
      </c>
      <c r="W535" s="386" t="s">
        <v>3292</v>
      </c>
      <c r="X535" s="324" t="s">
        <v>3364</v>
      </c>
      <c r="Y535" s="324" t="s">
        <v>3400</v>
      </c>
      <c r="Z535" s="322" t="s">
        <v>3387</v>
      </c>
      <c r="AA535" s="392">
        <v>12554</v>
      </c>
    </row>
    <row r="536" spans="17:27" ht="13.8">
      <c r="Q536" s="385">
        <f t="shared" si="8"/>
        <v>530</v>
      </c>
      <c r="R536" s="386" t="s">
        <v>2750</v>
      </c>
      <c r="S536" s="386" t="s">
        <v>2751</v>
      </c>
      <c r="T536" s="387" t="s">
        <v>1435</v>
      </c>
      <c r="U536" s="385" t="s">
        <v>2752</v>
      </c>
      <c r="V536" s="385" t="s">
        <v>3093</v>
      </c>
      <c r="W536" s="386" t="s">
        <v>3093</v>
      </c>
      <c r="X536" s="324" t="s">
        <v>3365</v>
      </c>
      <c r="Y536" s="324" t="s">
        <v>3400</v>
      </c>
      <c r="Z536" s="322" t="s">
        <v>3381</v>
      </c>
      <c r="AA536" s="392">
        <v>2278</v>
      </c>
    </row>
    <row r="537" spans="17:27" ht="13.8">
      <c r="Q537" s="385">
        <f t="shared" si="8"/>
        <v>531</v>
      </c>
      <c r="R537" s="386" t="s">
        <v>2753</v>
      </c>
      <c r="S537" s="386" t="s">
        <v>2754</v>
      </c>
      <c r="T537" s="387" t="s">
        <v>1295</v>
      </c>
      <c r="U537" s="385" t="s">
        <v>2755</v>
      </c>
      <c r="V537" s="385" t="s">
        <v>2754</v>
      </c>
      <c r="W537" s="386" t="s">
        <v>3293</v>
      </c>
      <c r="X537" s="324" t="s">
        <v>3364</v>
      </c>
      <c r="Y537" s="324" t="s">
        <v>3401</v>
      </c>
      <c r="Z537" s="322" t="s">
        <v>3383</v>
      </c>
      <c r="AA537" s="392">
        <v>3840</v>
      </c>
    </row>
    <row r="538" spans="17:27" ht="13.8">
      <c r="Q538" s="385">
        <f t="shared" si="8"/>
        <v>532</v>
      </c>
      <c r="R538" s="386" t="s">
        <v>2756</v>
      </c>
      <c r="S538" s="386" t="s">
        <v>2757</v>
      </c>
      <c r="T538" s="387" t="s">
        <v>1260</v>
      </c>
      <c r="U538" s="385" t="s">
        <v>2758</v>
      </c>
      <c r="V538" s="385" t="s">
        <v>2757</v>
      </c>
      <c r="W538" s="386" t="s">
        <v>3294</v>
      </c>
      <c r="X538" s="324" t="s">
        <v>3364</v>
      </c>
      <c r="Y538" s="324" t="s">
        <v>3400</v>
      </c>
      <c r="Z538" s="322" t="s">
        <v>3381</v>
      </c>
      <c r="AA538" s="392">
        <v>10759</v>
      </c>
    </row>
    <row r="539" spans="17:27" ht="13.8">
      <c r="Q539" s="385">
        <f t="shared" si="8"/>
        <v>533</v>
      </c>
      <c r="R539" s="386" t="s">
        <v>96</v>
      </c>
      <c r="S539" s="386" t="s">
        <v>2759</v>
      </c>
      <c r="T539" s="387" t="s">
        <v>1222</v>
      </c>
      <c r="U539" s="385" t="s">
        <v>2760</v>
      </c>
      <c r="V539" s="385" t="s">
        <v>3094</v>
      </c>
      <c r="W539" s="386" t="s">
        <v>3094</v>
      </c>
      <c r="X539" s="324" t="s">
        <v>3365</v>
      </c>
      <c r="Y539" s="324" t="s">
        <v>3402</v>
      </c>
      <c r="Z539" s="322" t="s">
        <v>3385</v>
      </c>
      <c r="AA539" s="392">
        <v>1024</v>
      </c>
    </row>
    <row r="540" spans="17:27" ht="13.8">
      <c r="Q540" s="385">
        <f t="shared" si="8"/>
        <v>534</v>
      </c>
      <c r="R540" s="386" t="s">
        <v>2761</v>
      </c>
      <c r="S540" s="386" t="s">
        <v>2762</v>
      </c>
      <c r="T540" s="387" t="s">
        <v>1435</v>
      </c>
      <c r="U540" s="385" t="s">
        <v>2763</v>
      </c>
      <c r="V540" s="385" t="s">
        <v>2762</v>
      </c>
      <c r="W540" s="386" t="s">
        <v>3295</v>
      </c>
      <c r="X540" s="324" t="s">
        <v>3364</v>
      </c>
      <c r="Y540" s="324" t="s">
        <v>3401</v>
      </c>
      <c r="Z540" s="322" t="s">
        <v>3386</v>
      </c>
      <c r="AA540" s="392">
        <v>21677</v>
      </c>
    </row>
    <row r="541" spans="17:27" ht="13.8">
      <c r="Q541" s="385">
        <f t="shared" si="8"/>
        <v>535</v>
      </c>
      <c r="R541" s="386" t="s">
        <v>2764</v>
      </c>
      <c r="S541" s="386" t="s">
        <v>2765</v>
      </c>
      <c r="T541" s="387" t="s">
        <v>1170</v>
      </c>
      <c r="U541" s="385" t="s">
        <v>2766</v>
      </c>
      <c r="V541" s="385" t="s">
        <v>3095</v>
      </c>
      <c r="W541" s="386" t="s">
        <v>3095</v>
      </c>
      <c r="X541" s="324" t="s">
        <v>3365</v>
      </c>
      <c r="Y541" s="324" t="s">
        <v>3400</v>
      </c>
      <c r="Z541" s="322" t="s">
        <v>3381</v>
      </c>
      <c r="AA541" s="392">
        <v>8097</v>
      </c>
    </row>
    <row r="542" spans="17:27" ht="13.8">
      <c r="Q542" s="385">
        <f t="shared" si="8"/>
        <v>536</v>
      </c>
      <c r="R542" s="386" t="s">
        <v>2767</v>
      </c>
      <c r="S542" s="386" t="s">
        <v>2768</v>
      </c>
      <c r="T542" s="387" t="s">
        <v>1308</v>
      </c>
      <c r="U542" s="385" t="s">
        <v>2769</v>
      </c>
      <c r="V542" s="385" t="s">
        <v>2768</v>
      </c>
      <c r="W542" s="386" t="s">
        <v>3296</v>
      </c>
      <c r="X542" s="324" t="s">
        <v>3364</v>
      </c>
      <c r="Y542" s="324" t="s">
        <v>3400</v>
      </c>
      <c r="Z542" s="322" t="s">
        <v>3381</v>
      </c>
      <c r="AA542" s="392">
        <v>25850</v>
      </c>
    </row>
    <row r="543" spans="17:27" ht="13.8">
      <c r="Q543" s="385">
        <f t="shared" si="8"/>
        <v>537</v>
      </c>
      <c r="R543" s="386" t="s">
        <v>2770</v>
      </c>
      <c r="S543" s="386" t="s">
        <v>2771</v>
      </c>
      <c r="T543" s="387" t="s">
        <v>1246</v>
      </c>
      <c r="U543" s="385" t="s">
        <v>2772</v>
      </c>
      <c r="V543" s="385" t="s">
        <v>3357</v>
      </c>
      <c r="W543" s="386" t="s">
        <v>3357</v>
      </c>
      <c r="X543" s="324" t="s">
        <v>2858</v>
      </c>
      <c r="Y543" s="324" t="s">
        <v>3402</v>
      </c>
      <c r="Z543" s="322" t="s">
        <v>3396</v>
      </c>
      <c r="AA543" s="392">
        <v>49708</v>
      </c>
    </row>
    <row r="544" spans="17:27" ht="13.8">
      <c r="Q544" s="385">
        <f t="shared" si="8"/>
        <v>538</v>
      </c>
      <c r="R544" s="386" t="s">
        <v>2773</v>
      </c>
      <c r="S544" s="386" t="s">
        <v>2774</v>
      </c>
      <c r="T544" s="387" t="s">
        <v>1260</v>
      </c>
      <c r="U544" s="385" t="s">
        <v>2775</v>
      </c>
      <c r="V544" s="385" t="s">
        <v>2774</v>
      </c>
      <c r="W544" s="386" t="s">
        <v>3297</v>
      </c>
      <c r="X544" s="324" t="s">
        <v>3364</v>
      </c>
      <c r="Y544" s="324" t="s">
        <v>3400</v>
      </c>
      <c r="Z544" s="322" t="s">
        <v>3389</v>
      </c>
      <c r="AA544" s="392">
        <v>46207</v>
      </c>
    </row>
    <row r="545" spans="17:27" ht="13.8">
      <c r="Q545" s="385">
        <f t="shared" si="8"/>
        <v>539</v>
      </c>
      <c r="R545" s="386" t="s">
        <v>2776</v>
      </c>
      <c r="S545" s="386" t="s">
        <v>2777</v>
      </c>
      <c r="T545" s="387" t="s">
        <v>1222</v>
      </c>
      <c r="U545" s="385" t="s">
        <v>2778</v>
      </c>
      <c r="V545" s="385" t="s">
        <v>3096</v>
      </c>
      <c r="W545" s="386" t="s">
        <v>3096</v>
      </c>
      <c r="X545" s="324" t="s">
        <v>3365</v>
      </c>
      <c r="Y545" s="324" t="s">
        <v>3402</v>
      </c>
      <c r="Z545" s="322" t="s">
        <v>3385</v>
      </c>
      <c r="AA545" s="392">
        <v>603</v>
      </c>
    </row>
    <row r="546" spans="17:27" ht="13.8">
      <c r="Q546" s="385">
        <f t="shared" si="8"/>
        <v>540</v>
      </c>
      <c r="R546" s="386" t="s">
        <v>2779</v>
      </c>
      <c r="S546" s="386" t="s">
        <v>2780</v>
      </c>
      <c r="T546" s="387" t="s">
        <v>1541</v>
      </c>
      <c r="U546" s="385" t="s">
        <v>2781</v>
      </c>
      <c r="V546" s="385" t="s">
        <v>2780</v>
      </c>
      <c r="W546" s="386" t="s">
        <v>3298</v>
      </c>
      <c r="X546" s="324" t="s">
        <v>3364</v>
      </c>
      <c r="Y546" s="324" t="s">
        <v>3400</v>
      </c>
      <c r="Z546" s="322" t="s">
        <v>3389</v>
      </c>
      <c r="AA546" s="392">
        <v>27165</v>
      </c>
    </row>
    <row r="547" spans="17:27" ht="13.8">
      <c r="Q547" s="385">
        <f t="shared" si="8"/>
        <v>541</v>
      </c>
      <c r="R547" s="386" t="s">
        <v>2782</v>
      </c>
      <c r="S547" s="386" t="s">
        <v>2783</v>
      </c>
      <c r="T547" s="387" t="s">
        <v>1239</v>
      </c>
      <c r="U547" s="385" t="s">
        <v>2784</v>
      </c>
      <c r="V547" s="385" t="s">
        <v>2783</v>
      </c>
      <c r="W547" s="386" t="s">
        <v>3299</v>
      </c>
      <c r="X547" s="324" t="s">
        <v>3364</v>
      </c>
      <c r="Y547" s="324" t="s">
        <v>3401</v>
      </c>
      <c r="Z547" s="322" t="s">
        <v>3386</v>
      </c>
      <c r="AA547" s="392">
        <v>8813</v>
      </c>
    </row>
    <row r="548" spans="17:27" ht="13.8">
      <c r="Q548" s="385">
        <f t="shared" si="8"/>
        <v>542</v>
      </c>
      <c r="R548" s="386" t="s">
        <v>2785</v>
      </c>
      <c r="S548" s="386" t="s">
        <v>2786</v>
      </c>
      <c r="T548" s="387" t="s">
        <v>1276</v>
      </c>
      <c r="U548" s="385" t="s">
        <v>2787</v>
      </c>
      <c r="V548" s="385" t="s">
        <v>3358</v>
      </c>
      <c r="W548" s="386" t="s">
        <v>3358</v>
      </c>
      <c r="X548" s="324" t="s">
        <v>2858</v>
      </c>
      <c r="Y548" s="324" t="s">
        <v>3400</v>
      </c>
      <c r="Z548" s="322" t="s">
        <v>3394</v>
      </c>
      <c r="AA548" s="392">
        <v>30316</v>
      </c>
    </row>
    <row r="549" spans="17:27" ht="13.8">
      <c r="Q549" s="385">
        <f t="shared" si="8"/>
        <v>543</v>
      </c>
      <c r="R549" s="386" t="s">
        <v>2788</v>
      </c>
      <c r="S549" s="386" t="s">
        <v>2789</v>
      </c>
      <c r="T549" s="387" t="s">
        <v>1435</v>
      </c>
      <c r="U549" s="385" t="s">
        <v>2790</v>
      </c>
      <c r="V549" s="385" t="s">
        <v>3097</v>
      </c>
      <c r="W549" s="386" t="s">
        <v>3097</v>
      </c>
      <c r="X549" s="324" t="s">
        <v>3365</v>
      </c>
      <c r="Y549" s="324" t="s">
        <v>3400</v>
      </c>
      <c r="Z549" s="322" t="s">
        <v>3381</v>
      </c>
      <c r="AA549" s="392">
        <v>4288</v>
      </c>
    </row>
    <row r="550" spans="17:27" ht="13.8">
      <c r="Q550" s="385">
        <f t="shared" si="8"/>
        <v>544</v>
      </c>
      <c r="R550" s="386" t="s">
        <v>2791</v>
      </c>
      <c r="S550" s="386" t="s">
        <v>2792</v>
      </c>
      <c r="T550" s="387" t="s">
        <v>1178</v>
      </c>
      <c r="U550" s="385" t="s">
        <v>2793</v>
      </c>
      <c r="V550" s="385" t="s">
        <v>3098</v>
      </c>
      <c r="W550" s="386" t="s">
        <v>3098</v>
      </c>
      <c r="X550" s="324" t="s">
        <v>3365</v>
      </c>
      <c r="Y550" s="324" t="s">
        <v>3400</v>
      </c>
      <c r="Z550" s="322" t="s">
        <v>3381</v>
      </c>
      <c r="AA550" s="392">
        <v>10908</v>
      </c>
    </row>
    <row r="551" spans="17:27" ht="13.8">
      <c r="Q551" s="385">
        <f t="shared" si="8"/>
        <v>545</v>
      </c>
      <c r="R551" s="386" t="s">
        <v>2794</v>
      </c>
      <c r="S551" s="386" t="s">
        <v>2795</v>
      </c>
      <c r="T551" s="387" t="s">
        <v>1174</v>
      </c>
      <c r="U551" s="385" t="s">
        <v>2796</v>
      </c>
      <c r="V551" s="385" t="s">
        <v>2795</v>
      </c>
      <c r="W551" s="386" t="s">
        <v>3300</v>
      </c>
      <c r="X551" s="324" t="s">
        <v>3364</v>
      </c>
      <c r="Y551" s="324" t="s">
        <v>3401</v>
      </c>
      <c r="Z551" s="322" t="s">
        <v>3383</v>
      </c>
      <c r="AA551" s="392">
        <v>2715</v>
      </c>
    </row>
    <row r="552" spans="17:27" ht="13.8">
      <c r="Q552" s="385">
        <f t="shared" si="8"/>
        <v>546</v>
      </c>
      <c r="R552" s="386" t="s">
        <v>2797</v>
      </c>
      <c r="S552" s="386" t="s">
        <v>2798</v>
      </c>
      <c r="T552" s="387" t="s">
        <v>1318</v>
      </c>
      <c r="U552" s="385" t="s">
        <v>2799</v>
      </c>
      <c r="V552" s="385" t="s">
        <v>3099</v>
      </c>
      <c r="W552" s="386" t="s">
        <v>3099</v>
      </c>
      <c r="X552" s="324" t="s">
        <v>3365</v>
      </c>
      <c r="Y552" s="324" t="s">
        <v>3400</v>
      </c>
      <c r="Z552" s="322" t="s">
        <v>3381</v>
      </c>
      <c r="AA552" s="392">
        <v>6522</v>
      </c>
    </row>
    <row r="553" spans="17:27" ht="13.8">
      <c r="Q553" s="385">
        <f t="shared" si="8"/>
        <v>547</v>
      </c>
      <c r="R553" s="386" t="s">
        <v>2800</v>
      </c>
      <c r="S553" s="386" t="s">
        <v>2801</v>
      </c>
      <c r="T553" s="387" t="s">
        <v>1192</v>
      </c>
      <c r="U553" s="385" t="s">
        <v>2802</v>
      </c>
      <c r="V553" s="385" t="s">
        <v>2801</v>
      </c>
      <c r="W553" s="386" t="s">
        <v>3301</v>
      </c>
      <c r="X553" s="324" t="s">
        <v>3364</v>
      </c>
      <c r="Y553" s="324" t="s">
        <v>3401</v>
      </c>
      <c r="Z553" s="322" t="s">
        <v>3383</v>
      </c>
      <c r="AA553" s="392">
        <v>4882</v>
      </c>
    </row>
    <row r="554" spans="17:27" ht="13.8">
      <c r="Q554" s="385">
        <f t="shared" si="8"/>
        <v>548</v>
      </c>
      <c r="R554" s="386" t="s">
        <v>2803</v>
      </c>
      <c r="S554" s="386" t="s">
        <v>2804</v>
      </c>
      <c r="T554" s="387" t="s">
        <v>1222</v>
      </c>
      <c r="U554" s="385" t="s">
        <v>2805</v>
      </c>
      <c r="V554" s="385" t="s">
        <v>3345</v>
      </c>
      <c r="W554" s="386" t="s">
        <v>3345</v>
      </c>
      <c r="X554" s="324" t="s">
        <v>3366</v>
      </c>
      <c r="Y554" s="324" t="s">
        <v>3402</v>
      </c>
      <c r="Z554" s="322" t="s">
        <v>3385</v>
      </c>
      <c r="AA554" s="392">
        <v>5325</v>
      </c>
    </row>
    <row r="555" spans="17:27" ht="13.8">
      <c r="Q555" s="385">
        <f t="shared" si="8"/>
        <v>549</v>
      </c>
      <c r="R555" s="386" t="s">
        <v>2806</v>
      </c>
      <c r="S555" s="386" t="s">
        <v>2807</v>
      </c>
      <c r="T555" s="387" t="s">
        <v>1222</v>
      </c>
      <c r="U555" s="385" t="s">
        <v>2808</v>
      </c>
      <c r="V555" s="385" t="s">
        <v>3100</v>
      </c>
      <c r="W555" s="386" t="s">
        <v>3100</v>
      </c>
      <c r="X555" s="324" t="s">
        <v>3365</v>
      </c>
      <c r="Y555" s="324" t="s">
        <v>3402</v>
      </c>
      <c r="Z555" s="322" t="s">
        <v>3385</v>
      </c>
      <c r="AA555" s="392">
        <v>3270</v>
      </c>
    </row>
    <row r="556" spans="17:27" ht="13.8">
      <c r="Q556" s="385">
        <f t="shared" si="8"/>
        <v>550</v>
      </c>
      <c r="R556" s="386" t="s">
        <v>2809</v>
      </c>
      <c r="S556" s="386" t="s">
        <v>2810</v>
      </c>
      <c r="T556" s="387" t="s">
        <v>1239</v>
      </c>
      <c r="U556" s="385" t="s">
        <v>2811</v>
      </c>
      <c r="V556" s="385" t="s">
        <v>2810</v>
      </c>
      <c r="W556" s="386" t="s">
        <v>3302</v>
      </c>
      <c r="X556" s="324" t="s">
        <v>3364</v>
      </c>
      <c r="Y556" s="324" t="s">
        <v>3400</v>
      </c>
      <c r="Z556" s="322" t="s">
        <v>3387</v>
      </c>
      <c r="AA556" s="392">
        <v>31629</v>
      </c>
    </row>
    <row r="557" spans="17:27" ht="13.8">
      <c r="Q557" s="385">
        <f t="shared" si="8"/>
        <v>551</v>
      </c>
      <c r="R557" s="386" t="s">
        <v>2812</v>
      </c>
      <c r="S557" s="386" t="s">
        <v>2813</v>
      </c>
      <c r="T557" s="387" t="s">
        <v>1276</v>
      </c>
      <c r="U557" s="385" t="s">
        <v>2814</v>
      </c>
      <c r="V557" s="385" t="s">
        <v>2813</v>
      </c>
      <c r="W557" s="386" t="s">
        <v>3303</v>
      </c>
      <c r="X557" s="324" t="s">
        <v>3364</v>
      </c>
      <c r="Y557" s="324" t="s">
        <v>3401</v>
      </c>
      <c r="Z557" s="322" t="s">
        <v>3383</v>
      </c>
      <c r="AA557" s="392">
        <v>1471</v>
      </c>
    </row>
    <row r="558" spans="17:27" ht="13.8">
      <c r="Q558" s="385">
        <f t="shared" si="8"/>
        <v>552</v>
      </c>
      <c r="R558" s="386" t="s">
        <v>2815</v>
      </c>
      <c r="S558" s="386" t="s">
        <v>2816</v>
      </c>
      <c r="T558" s="387" t="s">
        <v>1215</v>
      </c>
      <c r="U558" s="385" t="s">
        <v>2817</v>
      </c>
      <c r="V558" s="385" t="s">
        <v>2816</v>
      </c>
      <c r="W558" s="386" t="s">
        <v>3304</v>
      </c>
      <c r="X558" s="324" t="s">
        <v>3364</v>
      </c>
      <c r="Y558" s="324" t="s">
        <v>3401</v>
      </c>
      <c r="Z558" s="322" t="s">
        <v>3399</v>
      </c>
      <c r="AA558" s="392">
        <v>39499</v>
      </c>
    </row>
    <row r="559" spans="17:27" ht="13.8">
      <c r="Q559" s="385">
        <f t="shared" si="8"/>
        <v>553</v>
      </c>
      <c r="R559" s="386" t="s">
        <v>2818</v>
      </c>
      <c r="S559" s="386" t="s">
        <v>2819</v>
      </c>
      <c r="T559" s="387" t="s">
        <v>1222</v>
      </c>
      <c r="U559" s="385" t="s">
        <v>2820</v>
      </c>
      <c r="V559" s="385" t="s">
        <v>3101</v>
      </c>
      <c r="W559" s="386" t="s">
        <v>3101</v>
      </c>
      <c r="X559" s="324" t="s">
        <v>3365</v>
      </c>
      <c r="Y559" s="324" t="s">
        <v>3400</v>
      </c>
      <c r="Z559" s="322" t="s">
        <v>3381</v>
      </c>
      <c r="AA559" s="392">
        <v>2472</v>
      </c>
    </row>
    <row r="560" spans="17:27" ht="13.8">
      <c r="Q560" s="385">
        <f t="shared" si="8"/>
        <v>554</v>
      </c>
      <c r="R560" s="386" t="s">
        <v>2821</v>
      </c>
      <c r="S560" s="386" t="s">
        <v>2822</v>
      </c>
      <c r="T560" s="387" t="s">
        <v>1401</v>
      </c>
      <c r="U560" s="385" t="s">
        <v>2823</v>
      </c>
      <c r="V560" s="385" t="s">
        <v>2822</v>
      </c>
      <c r="W560" s="386" t="s">
        <v>3305</v>
      </c>
      <c r="X560" s="324" t="s">
        <v>3364</v>
      </c>
      <c r="Y560" s="324" t="s">
        <v>3400</v>
      </c>
      <c r="Z560" s="322" t="s">
        <v>3388</v>
      </c>
      <c r="AA560" s="392">
        <v>99585</v>
      </c>
    </row>
    <row r="561" spans="17:27" ht="13.8">
      <c r="Q561" s="385">
        <f t="shared" si="8"/>
        <v>555</v>
      </c>
      <c r="R561" s="386" t="s">
        <v>2824</v>
      </c>
      <c r="S561" s="386" t="s">
        <v>2825</v>
      </c>
      <c r="T561" s="387" t="s">
        <v>1435</v>
      </c>
      <c r="U561" s="385" t="s">
        <v>2826</v>
      </c>
      <c r="V561" s="385" t="s">
        <v>3346</v>
      </c>
      <c r="W561" s="386" t="s">
        <v>3346</v>
      </c>
      <c r="X561" s="324" t="s">
        <v>3366</v>
      </c>
      <c r="Y561" s="324" t="s">
        <v>3400</v>
      </c>
      <c r="Z561" s="322" t="s">
        <v>3388</v>
      </c>
      <c r="AA561" s="392">
        <v>10174</v>
      </c>
    </row>
    <row r="562" spans="17:27" ht="13.8">
      <c r="Q562" s="385">
        <f t="shared" si="8"/>
        <v>556</v>
      </c>
      <c r="R562" s="386" t="s">
        <v>2827</v>
      </c>
      <c r="S562" s="386" t="s">
        <v>2828</v>
      </c>
      <c r="T562" s="387" t="s">
        <v>1435</v>
      </c>
      <c r="U562" s="385" t="s">
        <v>2829</v>
      </c>
      <c r="V562" s="385" t="s">
        <v>3102</v>
      </c>
      <c r="W562" s="386" t="s">
        <v>3102</v>
      </c>
      <c r="X562" s="324" t="s">
        <v>3365</v>
      </c>
      <c r="Y562" s="324" t="s">
        <v>3400</v>
      </c>
      <c r="Z562" s="322" t="s">
        <v>3381</v>
      </c>
      <c r="AA562" s="392">
        <v>3055</v>
      </c>
    </row>
    <row r="563" spans="17:27" ht="13.8">
      <c r="Q563" s="385">
        <f t="shared" si="8"/>
        <v>557</v>
      </c>
      <c r="R563" s="386" t="s">
        <v>2830</v>
      </c>
      <c r="S563" s="386" t="s">
        <v>2831</v>
      </c>
      <c r="T563" s="387" t="s">
        <v>1178</v>
      </c>
      <c r="U563" s="385" t="s">
        <v>2832</v>
      </c>
      <c r="V563" s="385" t="s">
        <v>3103</v>
      </c>
      <c r="W563" s="386" t="s">
        <v>3103</v>
      </c>
      <c r="X563" s="324" t="s">
        <v>3365</v>
      </c>
      <c r="Y563" s="324" t="s">
        <v>3400</v>
      </c>
      <c r="Z563" s="322" t="s">
        <v>3381</v>
      </c>
      <c r="AA563" s="392">
        <v>5730</v>
      </c>
    </row>
    <row r="564" spans="17:27" ht="13.8">
      <c r="Q564" s="385">
        <f t="shared" si="8"/>
        <v>558</v>
      </c>
      <c r="R564" s="386" t="s">
        <v>2833</v>
      </c>
      <c r="S564" s="386" t="s">
        <v>2834</v>
      </c>
      <c r="T564" s="387" t="s">
        <v>1308</v>
      </c>
      <c r="U564" s="385" t="s">
        <v>2835</v>
      </c>
      <c r="V564" s="385" t="s">
        <v>3104</v>
      </c>
      <c r="W564" s="386" t="s">
        <v>3104</v>
      </c>
      <c r="X564" s="324" t="s">
        <v>3365</v>
      </c>
      <c r="Y564" s="324" t="s">
        <v>3400</v>
      </c>
      <c r="Z564" s="322" t="s">
        <v>3381</v>
      </c>
      <c r="AA564" s="392">
        <v>11819</v>
      </c>
    </row>
    <row r="565" spans="17:27" ht="13.8">
      <c r="Q565" s="385">
        <f t="shared" si="8"/>
        <v>559</v>
      </c>
      <c r="R565" s="386" t="s">
        <v>2836</v>
      </c>
      <c r="S565" s="386" t="s">
        <v>2837</v>
      </c>
      <c r="T565" s="387" t="s">
        <v>1239</v>
      </c>
      <c r="U565" s="385" t="s">
        <v>2838</v>
      </c>
      <c r="V565" s="385" t="s">
        <v>2837</v>
      </c>
      <c r="W565" s="386" t="s">
        <v>3306</v>
      </c>
      <c r="X565" s="324" t="s">
        <v>3364</v>
      </c>
      <c r="Y565" s="324" t="s">
        <v>3401</v>
      </c>
      <c r="Z565" s="322" t="s">
        <v>3383</v>
      </c>
      <c r="AA565" s="392">
        <v>1788</v>
      </c>
    </row>
    <row r="566" spans="17:27" ht="13.8">
      <c r="Q566" s="385">
        <f t="shared" si="8"/>
        <v>560</v>
      </c>
      <c r="R566" s="386" t="s">
        <v>2839</v>
      </c>
      <c r="S566" s="386" t="s">
        <v>2840</v>
      </c>
      <c r="T566" s="387" t="s">
        <v>1215</v>
      </c>
      <c r="U566" s="385" t="s">
        <v>2841</v>
      </c>
      <c r="V566" s="385" t="s">
        <v>3105</v>
      </c>
      <c r="W566" s="386" t="s">
        <v>3105</v>
      </c>
      <c r="X566" s="324" t="s">
        <v>3365</v>
      </c>
      <c r="Y566" s="324" t="s">
        <v>3400</v>
      </c>
      <c r="Z566" s="322" t="s">
        <v>3381</v>
      </c>
      <c r="AA566" s="392">
        <v>2978</v>
      </c>
    </row>
    <row r="567" spans="17:27" ht="13.8">
      <c r="Q567" s="385">
        <f t="shared" si="8"/>
        <v>561</v>
      </c>
      <c r="R567" s="386" t="s">
        <v>2842</v>
      </c>
      <c r="S567" s="386" t="s">
        <v>2843</v>
      </c>
      <c r="T567" s="387" t="s">
        <v>1178</v>
      </c>
      <c r="U567" s="385" t="s">
        <v>2844</v>
      </c>
      <c r="V567" s="385" t="s">
        <v>3106</v>
      </c>
      <c r="W567" s="386" t="s">
        <v>3106</v>
      </c>
      <c r="X567" s="324" t="s">
        <v>3365</v>
      </c>
      <c r="Y567" s="324" t="s">
        <v>3400</v>
      </c>
      <c r="Z567" s="322" t="s">
        <v>3381</v>
      </c>
      <c r="AA567" s="392">
        <v>7626</v>
      </c>
    </row>
    <row r="568" spans="17:27" ht="13.8">
      <c r="Q568" s="385">
        <f t="shared" si="8"/>
        <v>562</v>
      </c>
      <c r="R568" s="386" t="s">
        <v>2845</v>
      </c>
      <c r="S568" s="386" t="s">
        <v>2846</v>
      </c>
      <c r="T568" s="387" t="s">
        <v>1188</v>
      </c>
      <c r="U568" s="385" t="s">
        <v>2847</v>
      </c>
      <c r="V568" s="385" t="s">
        <v>3107</v>
      </c>
      <c r="W568" s="386" t="s">
        <v>3107</v>
      </c>
      <c r="X568" s="324" t="s">
        <v>3365</v>
      </c>
      <c r="Y568" s="324" t="s">
        <v>3400</v>
      </c>
      <c r="Z568" s="322" t="s">
        <v>3381</v>
      </c>
      <c r="AA568" s="392">
        <v>3505</v>
      </c>
    </row>
    <row r="569" spans="17:27" ht="13.8">
      <c r="Q569" s="385">
        <f t="shared" si="8"/>
        <v>563</v>
      </c>
      <c r="R569" s="386" t="s">
        <v>2848</v>
      </c>
      <c r="S569" s="386" t="s">
        <v>2849</v>
      </c>
      <c r="T569" s="387" t="s">
        <v>1435</v>
      </c>
      <c r="U569" s="385" t="s">
        <v>2850</v>
      </c>
      <c r="V569" s="385" t="s">
        <v>2849</v>
      </c>
      <c r="W569" s="386" t="s">
        <v>3307</v>
      </c>
      <c r="X569" s="324" t="s">
        <v>3364</v>
      </c>
      <c r="Y569" s="324" t="s">
        <v>3401</v>
      </c>
      <c r="Z569" s="322" t="s">
        <v>3386</v>
      </c>
      <c r="AA569" s="392">
        <v>10200</v>
      </c>
    </row>
    <row r="570" spans="17:27" ht="13.8">
      <c r="Q570" s="385">
        <f t="shared" si="8"/>
        <v>564</v>
      </c>
      <c r="R570" s="386" t="s">
        <v>2851</v>
      </c>
      <c r="S570" s="386" t="s">
        <v>2852</v>
      </c>
      <c r="T570" s="387" t="s">
        <v>1239</v>
      </c>
      <c r="U570" s="385" t="s">
        <v>2853</v>
      </c>
      <c r="V570" s="385" t="s">
        <v>3108</v>
      </c>
      <c r="W570" s="386" t="s">
        <v>3108</v>
      </c>
      <c r="X570" s="324" t="s">
        <v>3365</v>
      </c>
      <c r="Y570" s="324" t="s">
        <v>3400</v>
      </c>
      <c r="Z570" s="322" t="s">
        <v>3381</v>
      </c>
      <c r="AA570" s="392">
        <v>802</v>
      </c>
    </row>
    <row r="571" spans="17:27" ht="13.8">
      <c r="Q571" s="385">
        <f t="shared" si="8"/>
        <v>565</v>
      </c>
      <c r="R571" s="386" t="s">
        <v>2854</v>
      </c>
      <c r="S571" s="386" t="s">
        <v>2855</v>
      </c>
      <c r="T571" s="387" t="s">
        <v>1178</v>
      </c>
      <c r="U571" s="385" t="s">
        <v>2856</v>
      </c>
      <c r="V571" s="385" t="s">
        <v>2855</v>
      </c>
      <c r="W571" s="386" t="s">
        <v>3308</v>
      </c>
      <c r="X571" s="324" t="s">
        <v>3364</v>
      </c>
      <c r="Y571" s="324" t="s">
        <v>3401</v>
      </c>
      <c r="Z571" s="322" t="s">
        <v>3386</v>
      </c>
      <c r="AA571" s="392">
        <v>16696</v>
      </c>
    </row>
    <row r="572" spans="17:27" ht="13.8">
      <c r="Q572" s="385">
        <f t="shared" si="8"/>
        <v>566</v>
      </c>
      <c r="R572" s="942" t="s">
        <v>3707</v>
      </c>
      <c r="S572" s="386" t="s">
        <v>3731</v>
      </c>
      <c r="T572" t="s">
        <v>1174</v>
      </c>
      <c r="U572" s="385" t="s">
        <v>3752</v>
      </c>
      <c r="V572" s="385" t="s">
        <v>1174</v>
      </c>
      <c r="W572" s="386" t="s">
        <v>1174</v>
      </c>
      <c r="X572" s="324" t="s">
        <v>455</v>
      </c>
      <c r="Y572" s="324" t="s">
        <v>3773</v>
      </c>
      <c r="AA572" s="392">
        <v>274549</v>
      </c>
    </row>
    <row r="573" spans="17:27" ht="13.8">
      <c r="Q573" s="385">
        <f t="shared" si="8"/>
        <v>567</v>
      </c>
      <c r="R573" s="942" t="s">
        <v>3708</v>
      </c>
      <c r="S573" s="386" t="s">
        <v>3732</v>
      </c>
      <c r="T573" t="s">
        <v>1178</v>
      </c>
      <c r="U573" s="385" t="s">
        <v>3753</v>
      </c>
      <c r="V573" s="385" t="s">
        <v>1178</v>
      </c>
      <c r="W573" s="386" t="s">
        <v>1178</v>
      </c>
      <c r="X573" s="324" t="s">
        <v>455</v>
      </c>
      <c r="Y573" s="324" t="s">
        <v>3773</v>
      </c>
      <c r="AA573" s="392">
        <v>905116</v>
      </c>
    </row>
    <row r="574" spans="17:27" ht="13.8">
      <c r="Q574" s="385">
        <f t="shared" si="8"/>
        <v>568</v>
      </c>
      <c r="R574" s="942" t="s">
        <v>3709</v>
      </c>
      <c r="S574" s="386" t="s">
        <v>3733</v>
      </c>
      <c r="T574" t="s">
        <v>1239</v>
      </c>
      <c r="U574" s="385" t="s">
        <v>3754</v>
      </c>
      <c r="V574" s="385" t="s">
        <v>1239</v>
      </c>
      <c r="W574" s="386" t="s">
        <v>1239</v>
      </c>
      <c r="X574" s="324" t="s">
        <v>455</v>
      </c>
      <c r="Y574" s="324" t="s">
        <v>3773</v>
      </c>
      <c r="AA574" s="392">
        <v>448734</v>
      </c>
    </row>
    <row r="575" spans="17:27" ht="13.8">
      <c r="Q575" s="385">
        <f t="shared" si="8"/>
        <v>569</v>
      </c>
      <c r="R575" s="942" t="s">
        <v>3710</v>
      </c>
      <c r="S575" s="386" t="s">
        <v>3734</v>
      </c>
      <c r="T575" t="s">
        <v>1215</v>
      </c>
      <c r="U575" s="385" t="s">
        <v>3755</v>
      </c>
      <c r="V575" s="385" t="s">
        <v>1215</v>
      </c>
      <c r="W575" s="386" t="s">
        <v>1215</v>
      </c>
      <c r="X575" s="324" t="s">
        <v>455</v>
      </c>
      <c r="Y575" s="324" t="s">
        <v>3773</v>
      </c>
      <c r="AA575" s="392">
        <v>513657</v>
      </c>
    </row>
    <row r="576" spans="17:27" ht="13.8">
      <c r="Q576" s="385">
        <f t="shared" si="8"/>
        <v>570</v>
      </c>
      <c r="R576" s="942" t="s">
        <v>3711</v>
      </c>
      <c r="S576" s="386" t="s">
        <v>3735</v>
      </c>
      <c r="T576" t="s">
        <v>1222</v>
      </c>
      <c r="U576" s="385" t="s">
        <v>3756</v>
      </c>
      <c r="V576" s="385" t="s">
        <v>1222</v>
      </c>
      <c r="W576" s="386" t="s">
        <v>1222</v>
      </c>
      <c r="X576" s="324" t="s">
        <v>455</v>
      </c>
      <c r="Y576" s="324" t="s">
        <v>3773</v>
      </c>
      <c r="AA576" s="392">
        <v>97265</v>
      </c>
    </row>
    <row r="577" spans="17:27" ht="13.8">
      <c r="Q577" s="385">
        <f t="shared" si="8"/>
        <v>571</v>
      </c>
      <c r="R577" s="942" t="s">
        <v>3712</v>
      </c>
      <c r="S577" s="386" t="s">
        <v>3736</v>
      </c>
      <c r="T577" t="s">
        <v>1346</v>
      </c>
      <c r="U577" s="385" t="s">
        <v>3757</v>
      </c>
      <c r="V577" s="385" t="s">
        <v>1346</v>
      </c>
      <c r="W577" s="386" t="s">
        <v>1346</v>
      </c>
      <c r="X577" s="324" t="s">
        <v>455</v>
      </c>
      <c r="Y577" s="324" t="s">
        <v>3773</v>
      </c>
      <c r="AA577" s="392">
        <v>156898</v>
      </c>
    </row>
    <row r="578" spans="17:27" ht="13.8">
      <c r="Q578" s="385">
        <f t="shared" si="8"/>
        <v>572</v>
      </c>
      <c r="R578" s="942" t="s">
        <v>3713</v>
      </c>
      <c r="S578" s="386" t="s">
        <v>3737</v>
      </c>
      <c r="T578" t="s">
        <v>1260</v>
      </c>
      <c r="U578" s="385" t="s">
        <v>3758</v>
      </c>
      <c r="V578" s="385" t="s">
        <v>1260</v>
      </c>
      <c r="W578" s="386" t="s">
        <v>1260</v>
      </c>
      <c r="X578" s="324" t="s">
        <v>455</v>
      </c>
      <c r="Y578" s="324" t="s">
        <v>3773</v>
      </c>
      <c r="AA578" s="392">
        <v>783969</v>
      </c>
    </row>
    <row r="579" spans="17:27" ht="13.8">
      <c r="Q579" s="385">
        <f t="shared" si="8"/>
        <v>573</v>
      </c>
      <c r="R579" s="942" t="s">
        <v>3714</v>
      </c>
      <c r="S579" s="386" t="s">
        <v>3738</v>
      </c>
      <c r="T579" t="s">
        <v>1435</v>
      </c>
      <c r="U579" s="385" t="s">
        <v>3759</v>
      </c>
      <c r="V579" s="385" t="s">
        <v>1435</v>
      </c>
      <c r="W579" s="386" t="s">
        <v>1435</v>
      </c>
      <c r="X579" s="324" t="s">
        <v>455</v>
      </c>
      <c r="Y579" s="324" t="s">
        <v>3773</v>
      </c>
      <c r="AA579" s="392">
        <v>288288</v>
      </c>
    </row>
    <row r="580" spans="17:27" ht="13.8">
      <c r="Q580" s="385">
        <f t="shared" si="8"/>
        <v>574</v>
      </c>
      <c r="R580" s="942" t="s">
        <v>3715</v>
      </c>
      <c r="S580" s="386" t="s">
        <v>3739</v>
      </c>
      <c r="T580" t="s">
        <v>1246</v>
      </c>
      <c r="U580" s="385" t="s">
        <v>3760</v>
      </c>
      <c r="V580" s="385" t="s">
        <v>1246</v>
      </c>
      <c r="W580" s="386" t="s">
        <v>1246</v>
      </c>
      <c r="X580" s="324" t="s">
        <v>455</v>
      </c>
      <c r="Y580" s="324" t="s">
        <v>3773</v>
      </c>
      <c r="AA580" s="392">
        <v>634266</v>
      </c>
    </row>
    <row r="581" spans="17:27" ht="13.8">
      <c r="Q581" s="385">
        <f t="shared" si="8"/>
        <v>575</v>
      </c>
      <c r="R581" s="942" t="s">
        <v>3716</v>
      </c>
      <c r="S581" s="386" t="s">
        <v>3740</v>
      </c>
      <c r="T581" t="s">
        <v>1295</v>
      </c>
      <c r="U581" s="385" t="s">
        <v>3761</v>
      </c>
      <c r="V581" s="385" t="s">
        <v>1295</v>
      </c>
      <c r="W581" s="386" t="s">
        <v>1295</v>
      </c>
      <c r="X581" s="324" t="s">
        <v>455</v>
      </c>
      <c r="Y581" s="324" t="s">
        <v>3773</v>
      </c>
      <c r="AA581" s="392">
        <v>128349</v>
      </c>
    </row>
    <row r="582" spans="17:27" ht="13.8">
      <c r="Q582" s="385">
        <f t="shared" si="8"/>
        <v>576</v>
      </c>
      <c r="R582" s="942" t="s">
        <v>3717</v>
      </c>
      <c r="S582" s="386" t="s">
        <v>3741</v>
      </c>
      <c r="T582" t="s">
        <v>1541</v>
      </c>
      <c r="U582" s="385" t="s">
        <v>3762</v>
      </c>
      <c r="V582" s="385" t="s">
        <v>1541</v>
      </c>
      <c r="W582" s="386" t="s">
        <v>1541</v>
      </c>
      <c r="X582" s="324" t="s">
        <v>455</v>
      </c>
      <c r="Y582" s="324" t="s">
        <v>3773</v>
      </c>
      <c r="AA582" s="392">
        <v>350248</v>
      </c>
    </row>
    <row r="583" spans="17:27" ht="13.8">
      <c r="Q583" s="385">
        <f t="shared" si="8"/>
        <v>577</v>
      </c>
      <c r="R583" s="942" t="s">
        <v>3718</v>
      </c>
      <c r="S583" s="386" t="s">
        <v>3742</v>
      </c>
      <c r="T583" t="s">
        <v>1401</v>
      </c>
      <c r="U583" s="385" t="s">
        <v>3763</v>
      </c>
      <c r="V583" s="385" t="s">
        <v>1401</v>
      </c>
      <c r="W583" s="386" t="s">
        <v>1401</v>
      </c>
      <c r="X583" s="324" t="s">
        <v>455</v>
      </c>
      <c r="Y583" s="324" t="s">
        <v>3773</v>
      </c>
      <c r="AA583" s="392">
        <v>809858</v>
      </c>
    </row>
    <row r="584" spans="17:27" ht="13.8">
      <c r="Q584" s="385">
        <f t="shared" si="8"/>
        <v>578</v>
      </c>
      <c r="R584" s="942" t="s">
        <v>3719</v>
      </c>
      <c r="S584" s="386" t="s">
        <v>3743</v>
      </c>
      <c r="T584" t="s">
        <v>1170</v>
      </c>
      <c r="U584" s="385" t="s">
        <v>3764</v>
      </c>
      <c r="V584" s="385" t="s">
        <v>1170</v>
      </c>
      <c r="W584" s="386" t="s">
        <v>1170</v>
      </c>
      <c r="X584" s="324" t="s">
        <v>455</v>
      </c>
      <c r="Y584" s="324" t="s">
        <v>3773</v>
      </c>
      <c r="AA584" s="392">
        <v>630380</v>
      </c>
    </row>
    <row r="585" spans="17:27" ht="13.8">
      <c r="Q585" s="385">
        <f t="shared" ref="Q585:Q592" si="9">Q584+1</f>
        <v>579</v>
      </c>
      <c r="R585" s="942" t="s">
        <v>3720</v>
      </c>
      <c r="S585" s="386" t="s">
        <v>3744</v>
      </c>
      <c r="T585" t="s">
        <v>1318</v>
      </c>
      <c r="U585" s="385" t="s">
        <v>3765</v>
      </c>
      <c r="V585" s="385" t="s">
        <v>1318</v>
      </c>
      <c r="W585" s="386" t="s">
        <v>1318</v>
      </c>
      <c r="X585" s="324" t="s">
        <v>455</v>
      </c>
      <c r="Y585" s="324" t="s">
        <v>3773</v>
      </c>
      <c r="AA585" s="392">
        <v>492276</v>
      </c>
    </row>
    <row r="586" spans="17:27" ht="13.8">
      <c r="Q586" s="385">
        <f t="shared" si="9"/>
        <v>580</v>
      </c>
      <c r="R586" s="942" t="s">
        <v>3721</v>
      </c>
      <c r="S586" s="386" t="s">
        <v>3745</v>
      </c>
      <c r="T586" t="s">
        <v>1229</v>
      </c>
      <c r="U586" s="385" t="s">
        <v>3766</v>
      </c>
      <c r="V586" s="385" t="s">
        <v>1229</v>
      </c>
      <c r="W586" s="386" t="s">
        <v>1229</v>
      </c>
      <c r="X586" s="324" t="s">
        <v>455</v>
      </c>
      <c r="Y586" s="324" t="s">
        <v>3773</v>
      </c>
      <c r="AA586" s="392">
        <v>576567</v>
      </c>
    </row>
    <row r="587" spans="17:27" ht="13.8">
      <c r="Q587" s="385">
        <f t="shared" si="9"/>
        <v>581</v>
      </c>
      <c r="R587" s="942" t="s">
        <v>3722</v>
      </c>
      <c r="S587" s="386" t="s">
        <v>3746</v>
      </c>
      <c r="T587" t="s">
        <v>1308</v>
      </c>
      <c r="U587" s="385" t="s">
        <v>3767</v>
      </c>
      <c r="V587" s="385" t="s">
        <v>1308</v>
      </c>
      <c r="W587" s="386" t="s">
        <v>1308</v>
      </c>
      <c r="X587" s="324" t="s">
        <v>455</v>
      </c>
      <c r="Y587" s="324" t="s">
        <v>3773</v>
      </c>
      <c r="AA587" s="392">
        <v>501226</v>
      </c>
    </row>
    <row r="588" spans="17:27" ht="13.8">
      <c r="Q588" s="385">
        <f t="shared" si="9"/>
        <v>582</v>
      </c>
      <c r="R588" s="942" t="s">
        <v>3723</v>
      </c>
      <c r="S588" s="386" t="s">
        <v>3747</v>
      </c>
      <c r="T588" t="s">
        <v>1188</v>
      </c>
      <c r="U588" s="385" t="s">
        <v>3768</v>
      </c>
      <c r="V588" s="385" t="s">
        <v>1188</v>
      </c>
      <c r="W588" s="386" t="s">
        <v>1188</v>
      </c>
      <c r="X588" s="324" t="s">
        <v>455</v>
      </c>
      <c r="Y588" s="324" t="s">
        <v>3773</v>
      </c>
      <c r="AA588" s="392">
        <v>66083</v>
      </c>
    </row>
    <row r="589" spans="17:27" ht="13.8">
      <c r="Q589" s="385">
        <f t="shared" si="9"/>
        <v>583</v>
      </c>
      <c r="R589" s="942" t="s">
        <v>3724</v>
      </c>
      <c r="S589" s="386" t="s">
        <v>3748</v>
      </c>
      <c r="T589" t="s">
        <v>1256</v>
      </c>
      <c r="U589" s="385" t="s">
        <v>3769</v>
      </c>
      <c r="V589" s="385" t="s">
        <v>1256</v>
      </c>
      <c r="W589" s="386" t="s">
        <v>1256</v>
      </c>
      <c r="X589" s="324" t="s">
        <v>455</v>
      </c>
      <c r="Y589" s="324" t="s">
        <v>3773</v>
      </c>
      <c r="AA589" s="392">
        <v>323444</v>
      </c>
    </row>
    <row r="590" spans="17:27" ht="13.8">
      <c r="Q590" s="385">
        <f t="shared" si="9"/>
        <v>584</v>
      </c>
      <c r="R590" s="942" t="s">
        <v>3725</v>
      </c>
      <c r="S590" s="386" t="s">
        <v>3749</v>
      </c>
      <c r="T590" t="s">
        <v>1199</v>
      </c>
      <c r="U590" s="385" t="s">
        <v>3770</v>
      </c>
      <c r="V590" s="385" t="s">
        <v>1199</v>
      </c>
      <c r="W590" s="386" t="s">
        <v>1199</v>
      </c>
      <c r="X590" s="324" t="s">
        <v>455</v>
      </c>
      <c r="Y590" s="324" t="s">
        <v>3773</v>
      </c>
      <c r="AA590" s="392">
        <v>149265</v>
      </c>
    </row>
    <row r="591" spans="17:27" ht="13.8">
      <c r="Q591" s="385">
        <f t="shared" si="9"/>
        <v>585</v>
      </c>
      <c r="R591" s="942" t="s">
        <v>3726</v>
      </c>
      <c r="S591" s="386" t="s">
        <v>3750</v>
      </c>
      <c r="T591" t="s">
        <v>1276</v>
      </c>
      <c r="U591" s="385" t="s">
        <v>3771</v>
      </c>
      <c r="V591" s="385" t="s">
        <v>1276</v>
      </c>
      <c r="W591" s="386" t="s">
        <v>1276</v>
      </c>
      <c r="X591" s="324" t="s">
        <v>455</v>
      </c>
      <c r="Y591" s="324" t="s">
        <v>3773</v>
      </c>
      <c r="AA591" s="392">
        <v>536499</v>
      </c>
    </row>
    <row r="592" spans="17:27" ht="13.8">
      <c r="Q592" s="385">
        <f t="shared" si="9"/>
        <v>586</v>
      </c>
      <c r="R592" s="942" t="s">
        <v>3727</v>
      </c>
      <c r="S592" s="386" t="s">
        <v>3751</v>
      </c>
      <c r="T592" t="s">
        <v>1192</v>
      </c>
      <c r="U592" s="385" t="s">
        <v>3772</v>
      </c>
      <c r="V592" s="385" t="s">
        <v>1192</v>
      </c>
      <c r="W592" s="386" t="s">
        <v>1192</v>
      </c>
      <c r="X592" s="324" t="s">
        <v>455</v>
      </c>
      <c r="Y592" s="324" t="s">
        <v>3773</v>
      </c>
      <c r="AA592" s="392">
        <v>108692</v>
      </c>
    </row>
  </sheetData>
  <sheetProtection password="CAF9" sheet="1" objects="1" scenarios="1"/>
  <autoFilter ref="Z6:Z571" xr:uid="{00000000-0009-0000-0000-000002000000}"/>
  <mergeCells count="2">
    <mergeCell ref="D6:E6"/>
    <mergeCell ref="C2:E2"/>
  </mergeCells>
  <phoneticPr fontId="0" type="noConversion"/>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22860</xdr:colOff>
                    <xdr:row>7</xdr:row>
                    <xdr:rowOff>7620</xdr:rowOff>
                  </from>
                  <to>
                    <xdr:col>4</xdr:col>
                    <xdr:colOff>0</xdr:colOff>
                    <xdr:row>7</xdr:row>
                    <xdr:rowOff>251460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2:K54"/>
  <sheetViews>
    <sheetView zoomScaleNormal="100" workbookViewId="0">
      <selection activeCell="B15" sqref="B15:F15"/>
    </sheetView>
  </sheetViews>
  <sheetFormatPr defaultColWidth="9.109375" defaultRowHeight="13.2"/>
  <cols>
    <col min="1" max="4" width="4.6640625" style="277" customWidth="1"/>
    <col min="5" max="5" width="63.6640625" style="277" customWidth="1"/>
    <col min="6" max="6" width="16.5546875" style="355" customWidth="1"/>
    <col min="7" max="7" width="11.109375" style="277" bestFit="1" customWidth="1"/>
    <col min="8" max="8" width="39.6640625" style="277" bestFit="1" customWidth="1"/>
    <col min="9" max="16384" width="9.109375" style="277"/>
  </cols>
  <sheetData>
    <row r="2" spans="2:11" ht="22.8">
      <c r="B2" s="1591" t="str">
        <f>"  CASH  RECONCILIATION  DECEMBER  31, "&amp;TEXT('KEY INPUTS'!D34,"0")&amp;" (cont'd)  "</f>
        <v xml:space="preserve">  CASH  RECONCILIATION  DECEMBER  31, 2019 (cont'd)  </v>
      </c>
      <c r="C2" s="1591"/>
      <c r="D2" s="1591"/>
      <c r="E2" s="1591"/>
      <c r="F2" s="1591"/>
      <c r="G2" s="346"/>
      <c r="H2" s="346"/>
      <c r="I2" s="346"/>
    </row>
    <row r="4" spans="2:11" ht="16.2" thickBot="1">
      <c r="B4" s="1590" t="s">
        <v>798</v>
      </c>
      <c r="C4" s="1590"/>
      <c r="D4" s="1590"/>
      <c r="E4" s="1590"/>
      <c r="F4" s="1590"/>
    </row>
    <row r="5" spans="2:11" ht="21" customHeight="1" thickTop="1">
      <c r="B5" s="347"/>
      <c r="C5" s="347"/>
      <c r="D5" s="347"/>
      <c r="E5" s="347"/>
      <c r="F5" s="348"/>
    </row>
    <row r="6" spans="2:11" ht="21" customHeight="1">
      <c r="B6" s="567" t="s">
        <v>3800</v>
      </c>
      <c r="C6" s="567"/>
      <c r="D6" s="567"/>
      <c r="E6" s="567"/>
      <c r="F6" s="568">
        <v>429869</v>
      </c>
      <c r="H6" s="258"/>
      <c r="I6" s="258"/>
      <c r="J6" s="258"/>
      <c r="K6" s="258"/>
    </row>
    <row r="7" spans="2:11" ht="21" customHeight="1">
      <c r="B7" s="567" t="s">
        <v>3800</v>
      </c>
      <c r="C7" s="567"/>
      <c r="D7" s="567"/>
      <c r="E7" s="567"/>
      <c r="F7" s="568">
        <v>145321.39000000001</v>
      </c>
      <c r="G7" s="327"/>
      <c r="H7" s="258"/>
      <c r="I7" s="258"/>
      <c r="J7" s="258"/>
      <c r="K7" s="258"/>
    </row>
    <row r="8" spans="2:11" ht="21" customHeight="1">
      <c r="B8" s="567" t="s">
        <v>3800</v>
      </c>
      <c r="C8" s="567"/>
      <c r="D8" s="567"/>
      <c r="E8" s="567"/>
      <c r="F8" s="568">
        <v>18505431.350000001</v>
      </c>
      <c r="G8" s="327"/>
      <c r="H8" s="258"/>
      <c r="I8" s="258"/>
      <c r="J8" s="258"/>
      <c r="K8" s="258"/>
    </row>
    <row r="9" spans="2:11" ht="21" customHeight="1">
      <c r="B9" s="567" t="s">
        <v>3800</v>
      </c>
      <c r="C9" s="567"/>
      <c r="D9" s="567"/>
      <c r="E9" s="567"/>
      <c r="F9" s="568">
        <v>57883.97</v>
      </c>
      <c r="G9" s="327"/>
      <c r="H9" s="377"/>
      <c r="I9" s="258"/>
      <c r="J9" s="258"/>
      <c r="K9" s="258"/>
    </row>
    <row r="10" spans="2:11" ht="21" customHeight="1">
      <c r="B10" s="567" t="s">
        <v>3801</v>
      </c>
      <c r="C10" s="567"/>
      <c r="D10" s="567"/>
      <c r="E10" s="567"/>
      <c r="F10" s="568">
        <v>690544.12</v>
      </c>
      <c r="G10" s="327"/>
      <c r="H10" s="258"/>
      <c r="I10" s="258"/>
      <c r="J10" s="258"/>
      <c r="K10" s="258"/>
    </row>
    <row r="11" spans="2:11" ht="21" customHeight="1">
      <c r="B11" s="567" t="s">
        <v>3803</v>
      </c>
      <c r="C11" s="567"/>
      <c r="D11" s="567"/>
      <c r="E11" s="567"/>
      <c r="F11" s="568">
        <v>3019568.7</v>
      </c>
      <c r="G11" s="327"/>
      <c r="H11" s="258"/>
      <c r="I11" s="258"/>
      <c r="J11" s="258"/>
      <c r="K11" s="258"/>
    </row>
    <row r="12" spans="2:11" ht="21" customHeight="1">
      <c r="B12" s="567" t="s">
        <v>3802</v>
      </c>
      <c r="C12" s="567"/>
      <c r="D12" s="567"/>
      <c r="E12" s="567"/>
      <c r="F12" s="568">
        <v>7422576.5199999996</v>
      </c>
      <c r="G12" s="327"/>
      <c r="H12" s="258"/>
      <c r="I12" s="351"/>
      <c r="J12" s="258"/>
      <c r="K12" s="258"/>
    </row>
    <row r="13" spans="2:11" ht="21" customHeight="1">
      <c r="B13" s="567" t="s">
        <v>3804</v>
      </c>
      <c r="C13" s="567"/>
      <c r="D13" s="567"/>
      <c r="E13" s="567"/>
      <c r="F13" s="568">
        <v>3738673.99</v>
      </c>
      <c r="G13" s="327"/>
      <c r="H13" s="258"/>
      <c r="I13" s="258"/>
      <c r="J13" s="258"/>
      <c r="K13" s="258"/>
    </row>
    <row r="14" spans="2:11" ht="21" customHeight="1">
      <c r="B14" s="567" t="s">
        <v>3805</v>
      </c>
      <c r="C14" s="567"/>
      <c r="D14" s="567"/>
      <c r="E14" s="567"/>
      <c r="F14" s="568">
        <v>103518.09</v>
      </c>
      <c r="G14" s="327"/>
      <c r="H14" s="258"/>
      <c r="I14" s="258"/>
      <c r="J14" s="258"/>
      <c r="K14" s="258"/>
    </row>
    <row r="15" spans="2:11" ht="21" customHeight="1">
      <c r="B15" s="567"/>
      <c r="C15" s="567"/>
      <c r="D15" s="567"/>
      <c r="E15" s="567"/>
      <c r="F15" s="568"/>
      <c r="G15" s="274"/>
      <c r="H15" s="258"/>
      <c r="I15" s="258"/>
      <c r="J15" s="258"/>
      <c r="K15" s="258"/>
    </row>
    <row r="16" spans="2:11" ht="21" customHeight="1">
      <c r="B16" s="567"/>
      <c r="C16" s="567"/>
      <c r="D16" s="567"/>
      <c r="E16" s="567"/>
      <c r="F16" s="568"/>
      <c r="G16" s="327"/>
      <c r="H16" s="258"/>
      <c r="I16" s="258"/>
      <c r="J16" s="258"/>
      <c r="K16" s="258"/>
    </row>
    <row r="17" spans="2:11" ht="21" customHeight="1">
      <c r="B17" s="567" t="s">
        <v>3800</v>
      </c>
      <c r="C17" s="567"/>
      <c r="D17" s="567"/>
      <c r="E17" s="567"/>
      <c r="F17" s="568">
        <v>910054.37</v>
      </c>
      <c r="G17" s="327"/>
      <c r="H17" s="258"/>
      <c r="I17" s="258"/>
      <c r="J17" s="258"/>
      <c r="K17" s="258"/>
    </row>
    <row r="18" spans="2:11" ht="21" customHeight="1">
      <c r="B18" s="567"/>
      <c r="C18" s="567"/>
      <c r="D18" s="567"/>
      <c r="E18" s="567"/>
      <c r="F18" s="568"/>
      <c r="G18" s="327"/>
      <c r="H18" s="345"/>
      <c r="I18" s="352"/>
      <c r="J18" s="258"/>
      <c r="K18" s="258"/>
    </row>
    <row r="19" spans="2:11" ht="21" customHeight="1">
      <c r="B19" s="567" t="s">
        <v>3800</v>
      </c>
      <c r="C19" s="567"/>
      <c r="D19" s="567"/>
      <c r="E19" s="567"/>
      <c r="F19" s="568">
        <v>25000</v>
      </c>
      <c r="G19" s="327"/>
      <c r="H19" s="258"/>
      <c r="I19" s="258"/>
      <c r="J19" s="258"/>
      <c r="K19" s="258"/>
    </row>
    <row r="20" spans="2:11" ht="21" customHeight="1">
      <c r="B20" s="567" t="s">
        <v>3800</v>
      </c>
      <c r="C20" s="567"/>
      <c r="D20" s="567"/>
      <c r="E20" s="567"/>
      <c r="F20" s="568">
        <v>2718718.96</v>
      </c>
      <c r="G20" s="327"/>
      <c r="H20" s="345"/>
      <c r="I20" s="258"/>
      <c r="J20" s="258"/>
      <c r="K20" s="258"/>
    </row>
    <row r="21" spans="2:11" ht="21" customHeight="1">
      <c r="B21" s="567" t="s">
        <v>3800</v>
      </c>
      <c r="C21" s="567"/>
      <c r="D21" s="567"/>
      <c r="E21" s="567"/>
      <c r="F21" s="568">
        <v>194051.07</v>
      </c>
      <c r="G21" s="327"/>
      <c r="H21" s="345"/>
      <c r="I21" s="351"/>
      <c r="J21" s="258"/>
      <c r="K21" s="258"/>
    </row>
    <row r="22" spans="2:11" ht="21" customHeight="1">
      <c r="B22" s="567" t="s">
        <v>3800</v>
      </c>
      <c r="C22" s="567"/>
      <c r="D22" s="567"/>
      <c r="E22" s="567"/>
      <c r="F22" s="568">
        <v>2500000</v>
      </c>
      <c r="H22" s="258"/>
      <c r="I22" s="258"/>
      <c r="J22" s="258"/>
      <c r="K22" s="258"/>
    </row>
    <row r="23" spans="2:11" ht="21" customHeight="1">
      <c r="B23" s="567"/>
      <c r="C23" s="567"/>
      <c r="D23" s="567"/>
      <c r="E23" s="567"/>
      <c r="F23" s="568"/>
      <c r="H23" s="258"/>
      <c r="I23" s="258"/>
      <c r="J23" s="258"/>
      <c r="K23" s="258"/>
    </row>
    <row r="24" spans="2:11" ht="21" customHeight="1">
      <c r="B24" s="567" t="s">
        <v>3800</v>
      </c>
      <c r="C24" s="567"/>
      <c r="D24" s="567"/>
      <c r="E24" s="567"/>
      <c r="F24" s="568">
        <v>139456.38</v>
      </c>
      <c r="G24" s="274"/>
      <c r="H24" s="353"/>
      <c r="I24" s="258"/>
      <c r="J24" s="258"/>
      <c r="K24" s="258"/>
    </row>
    <row r="25" spans="2:11" ht="21" customHeight="1">
      <c r="B25" s="567" t="s">
        <v>3800</v>
      </c>
      <c r="C25" s="567"/>
      <c r="D25" s="567"/>
      <c r="E25" s="567"/>
      <c r="F25" s="568">
        <v>3851062.54</v>
      </c>
    </row>
    <row r="26" spans="2:11" ht="21" customHeight="1">
      <c r="B26" s="567"/>
      <c r="C26" s="567"/>
      <c r="D26" s="567"/>
      <c r="E26" s="567"/>
      <c r="F26" s="568"/>
    </row>
    <row r="27" spans="2:11" ht="21" customHeight="1">
      <c r="B27" s="567" t="s">
        <v>3800</v>
      </c>
      <c r="C27" s="567"/>
      <c r="D27" s="567"/>
      <c r="E27" s="567"/>
      <c r="F27" s="568">
        <v>3399494.11</v>
      </c>
    </row>
    <row r="28" spans="2:11" ht="21" customHeight="1">
      <c r="B28" s="567"/>
      <c r="C28" s="567"/>
      <c r="D28" s="567"/>
      <c r="E28" s="567"/>
      <c r="F28" s="568"/>
    </row>
    <row r="29" spans="2:11" ht="21" customHeight="1">
      <c r="B29" s="567" t="s">
        <v>3800</v>
      </c>
      <c r="C29" s="567"/>
      <c r="D29" s="567"/>
      <c r="E29" s="567"/>
      <c r="F29" s="568">
        <v>30389.75</v>
      </c>
    </row>
    <row r="30" spans="2:11" ht="21" customHeight="1">
      <c r="B30" s="567"/>
      <c r="C30" s="567"/>
      <c r="D30" s="567"/>
      <c r="E30" s="567"/>
      <c r="F30" s="568"/>
    </row>
    <row r="31" spans="2:11" ht="21" customHeight="1">
      <c r="B31" s="567" t="s">
        <v>3800</v>
      </c>
      <c r="C31" s="567"/>
      <c r="D31" s="567"/>
      <c r="E31" s="567"/>
      <c r="F31" s="568">
        <v>57386.33</v>
      </c>
    </row>
    <row r="32" spans="2:11" ht="21" customHeight="1">
      <c r="B32" s="567" t="s">
        <v>3800</v>
      </c>
      <c r="C32" s="567"/>
      <c r="D32" s="567"/>
      <c r="E32" s="567"/>
      <c r="F32" s="568">
        <v>250000</v>
      </c>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81" t="s">
        <v>3539</v>
      </c>
      <c r="D43" s="257"/>
      <c r="E43" s="257"/>
      <c r="F43" s="354">
        <f>SUM(F5:F42)</f>
        <v>48189000.640000001</v>
      </c>
    </row>
    <row r="44" spans="2:6" ht="13.8" thickTop="1"/>
    <row r="45" spans="2:6">
      <c r="B45" s="1592" t="s">
        <v>789</v>
      </c>
      <c r="C45" s="1592"/>
      <c r="D45" s="1592"/>
      <c r="E45" s="1592"/>
      <c r="F45" s="1592"/>
    </row>
    <row r="46" spans="2:6">
      <c r="B46" s="1592" t="s">
        <v>799</v>
      </c>
      <c r="C46" s="1592"/>
      <c r="D46" s="1592"/>
      <c r="E46" s="1592"/>
      <c r="F46" s="1592"/>
    </row>
    <row r="47" spans="2:6">
      <c r="B47" s="819"/>
      <c r="C47" s="819"/>
      <c r="D47" s="819"/>
      <c r="E47" s="819"/>
      <c r="F47" s="356"/>
    </row>
    <row r="49" spans="2:6" ht="13.8">
      <c r="B49" s="1589" t="s">
        <v>800</v>
      </c>
      <c r="C49" s="1589"/>
      <c r="D49" s="1589"/>
      <c r="E49" s="1589"/>
      <c r="F49" s="1589"/>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I49"/>
  <sheetViews>
    <sheetView zoomScaleNormal="100" workbookViewId="0">
      <selection activeCell="B1" sqref="B1"/>
    </sheetView>
  </sheetViews>
  <sheetFormatPr defaultRowHeight="13.2"/>
  <cols>
    <col min="1" max="4" width="4.6640625" customWidth="1"/>
    <col min="5" max="5" width="63.6640625" customWidth="1"/>
    <col min="6" max="6" width="16.5546875" customWidth="1"/>
  </cols>
  <sheetData>
    <row r="1" spans="2:9">
      <c r="B1" s="855"/>
      <c r="C1" s="855"/>
      <c r="D1" s="855"/>
      <c r="E1" s="855"/>
      <c r="F1" s="855"/>
    </row>
    <row r="2" spans="2:9" ht="22.8">
      <c r="B2" s="1593" t="str">
        <f>'9a-Cash Reconciliation'!B2:F2</f>
        <v xml:space="preserve">  CASH  RECONCILIATION  DECEMBER  31, 2019 (cont'd)  </v>
      </c>
      <c r="C2" s="1593"/>
      <c r="D2" s="1593"/>
      <c r="E2" s="1593"/>
      <c r="F2" s="1593"/>
      <c r="G2" s="39"/>
      <c r="H2" s="39"/>
      <c r="I2" s="39"/>
    </row>
    <row r="3" spans="2:9">
      <c r="B3" s="855"/>
      <c r="C3" s="855"/>
      <c r="D3" s="855"/>
      <c r="E3" s="855"/>
      <c r="F3" s="855"/>
    </row>
    <row r="4" spans="2:9" ht="16.2" thickBot="1">
      <c r="B4" s="1567" t="s">
        <v>798</v>
      </c>
      <c r="C4" s="1567"/>
      <c r="D4" s="1567"/>
      <c r="E4" s="1567"/>
      <c r="F4" s="1567"/>
    </row>
    <row r="5" spans="2:9" ht="21" customHeight="1" thickTop="1">
      <c r="B5" s="884" t="s">
        <v>3540</v>
      </c>
      <c r="C5" s="885"/>
      <c r="D5" s="885"/>
      <c r="E5" s="885"/>
      <c r="F5" s="886">
        <f>+'9a-Cash Reconciliation'!F43</f>
        <v>48189000.640000001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3539</v>
      </c>
      <c r="C43" s="27"/>
      <c r="D43" s="27"/>
      <c r="E43" s="27"/>
      <c r="F43" s="222">
        <f>SUM(F5:F42)</f>
        <v>48189000.640000001</v>
      </c>
    </row>
    <row r="44" spans="2:6" ht="13.8" thickTop="1">
      <c r="B44" s="322"/>
      <c r="C44" s="322"/>
      <c r="D44" s="322"/>
      <c r="E44" s="322"/>
      <c r="F44" s="322"/>
    </row>
    <row r="45" spans="2:6">
      <c r="B45" s="1545" t="s">
        <v>789</v>
      </c>
      <c r="C45" s="1545"/>
      <c r="D45" s="1545"/>
      <c r="E45" s="1545"/>
      <c r="F45" s="1545"/>
    </row>
    <row r="46" spans="2:6">
      <c r="B46" s="1545" t="s">
        <v>799</v>
      </c>
      <c r="C46" s="1545"/>
      <c r="D46" s="1545"/>
      <c r="E46" s="1545"/>
      <c r="F46" s="1545"/>
    </row>
    <row r="47" spans="2:6">
      <c r="B47" s="816"/>
      <c r="C47" s="816"/>
      <c r="D47" s="816"/>
      <c r="E47" s="816"/>
      <c r="F47" s="816"/>
    </row>
    <row r="48" spans="2:6">
      <c r="B48" s="322"/>
      <c r="C48" s="322"/>
      <c r="D48" s="322"/>
      <c r="E48" s="322"/>
      <c r="F48" s="322"/>
    </row>
    <row r="49" spans="2:6" ht="13.8">
      <c r="B49" s="1507" t="s">
        <v>3526</v>
      </c>
      <c r="C49" s="1507"/>
      <c r="D49" s="1507"/>
      <c r="E49" s="1507"/>
      <c r="F49" s="1507"/>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I49"/>
  <sheetViews>
    <sheetView zoomScaleNormal="100" workbookViewId="0">
      <selection activeCell="B1" sqref="B1"/>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2:9">
      <c r="B1" s="855"/>
      <c r="C1" s="855"/>
      <c r="D1" s="855"/>
      <c r="E1" s="855"/>
      <c r="F1" s="855"/>
    </row>
    <row r="2" spans="2:9" ht="22.8">
      <c r="B2" s="1593" t="str">
        <f>'9a-Cash Reconciliation'!B2:F2</f>
        <v xml:space="preserve">  CASH  RECONCILIATION  DECEMBER  31, 2019 (cont'd)  </v>
      </c>
      <c r="C2" s="1593"/>
      <c r="D2" s="1593"/>
      <c r="E2" s="1593"/>
      <c r="F2" s="1593"/>
      <c r="G2" s="737"/>
      <c r="H2" s="737"/>
      <c r="I2" s="737"/>
    </row>
    <row r="3" spans="2:9">
      <c r="B3" s="855"/>
      <c r="C3" s="855"/>
      <c r="D3" s="855"/>
      <c r="E3" s="855"/>
      <c r="F3" s="855"/>
    </row>
    <row r="4" spans="2:9" ht="16.2" thickBot="1">
      <c r="B4" s="1567" t="s">
        <v>798</v>
      </c>
      <c r="C4" s="1567"/>
      <c r="D4" s="1567"/>
      <c r="E4" s="1567"/>
      <c r="F4" s="1567"/>
    </row>
    <row r="5" spans="2:9" ht="21" customHeight="1" thickTop="1">
      <c r="B5" s="884" t="s">
        <v>3540</v>
      </c>
      <c r="C5" s="885"/>
      <c r="D5" s="885"/>
      <c r="E5" s="885"/>
      <c r="F5" s="886">
        <f>+'9a.1-Cash Reconciliation'!F43</f>
        <v>48189000.640000001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3539</v>
      </c>
      <c r="C43" s="27"/>
      <c r="D43" s="27"/>
      <c r="E43" s="27"/>
      <c r="F43" s="222">
        <f>SUM(F5:F42)</f>
        <v>48189000.640000001</v>
      </c>
    </row>
    <row r="44" spans="2:6" ht="13.8" thickTop="1"/>
    <row r="45" spans="2:6">
      <c r="B45" s="1545" t="s">
        <v>789</v>
      </c>
      <c r="C45" s="1545"/>
      <c r="D45" s="1545"/>
      <c r="E45" s="1545"/>
      <c r="F45" s="1545"/>
    </row>
    <row r="46" spans="2:6">
      <c r="B46" s="1545" t="s">
        <v>799</v>
      </c>
      <c r="C46" s="1545"/>
      <c r="D46" s="1545"/>
      <c r="E46" s="1545"/>
      <c r="F46" s="1545"/>
    </row>
    <row r="47" spans="2:6">
      <c r="B47" s="816"/>
      <c r="C47" s="816"/>
      <c r="D47" s="816"/>
      <c r="E47" s="816"/>
      <c r="F47" s="816"/>
    </row>
    <row r="49" spans="2:6" ht="13.8">
      <c r="B49" s="1507" t="s">
        <v>3527</v>
      </c>
      <c r="C49" s="1507"/>
      <c r="D49" s="1507"/>
      <c r="E49" s="1507"/>
      <c r="F49" s="1507"/>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I49"/>
  <sheetViews>
    <sheetView zoomScaleNormal="100" workbookViewId="0">
      <selection activeCell="B1" sqref="B1"/>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2:9">
      <c r="B1" s="855"/>
      <c r="C1" s="855"/>
      <c r="D1" s="855"/>
      <c r="E1" s="855"/>
      <c r="F1" s="855"/>
    </row>
    <row r="2" spans="2:9" ht="22.8">
      <c r="B2" s="1593" t="str">
        <f>'9a-Cash Reconciliation'!B2:F2</f>
        <v xml:space="preserve">  CASH  RECONCILIATION  DECEMBER  31, 2019 (cont'd)  </v>
      </c>
      <c r="C2" s="1593"/>
      <c r="D2" s="1593"/>
      <c r="E2" s="1593"/>
      <c r="F2" s="1593"/>
      <c r="G2" s="737"/>
      <c r="H2" s="737"/>
      <c r="I2" s="737"/>
    </row>
    <row r="3" spans="2:9">
      <c r="B3" s="855"/>
      <c r="C3" s="855"/>
      <c r="D3" s="855"/>
      <c r="E3" s="855"/>
      <c r="F3" s="855"/>
    </row>
    <row r="4" spans="2:9" ht="16.2" thickBot="1">
      <c r="B4" s="1567" t="s">
        <v>798</v>
      </c>
      <c r="C4" s="1567"/>
      <c r="D4" s="1567"/>
      <c r="E4" s="1567"/>
      <c r="F4" s="1567"/>
    </row>
    <row r="5" spans="2:9" ht="21" customHeight="1" thickTop="1">
      <c r="B5" s="884" t="s">
        <v>3540</v>
      </c>
      <c r="C5" s="885"/>
      <c r="D5" s="885"/>
      <c r="E5" s="885"/>
      <c r="F5" s="886">
        <f>+'9a.2-Cash Reconciliation'!F43</f>
        <v>48189000.640000001</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3539</v>
      </c>
      <c r="C43" s="27"/>
      <c r="D43" s="27"/>
      <c r="E43" s="27"/>
      <c r="F43" s="222">
        <f>SUM(F5:F42)</f>
        <v>48189000.640000001</v>
      </c>
    </row>
    <row r="44" spans="2:6" ht="13.8" thickTop="1"/>
    <row r="45" spans="2:6">
      <c r="B45" s="1545" t="s">
        <v>789</v>
      </c>
      <c r="C45" s="1545"/>
      <c r="D45" s="1545"/>
      <c r="E45" s="1545"/>
      <c r="F45" s="1545"/>
    </row>
    <row r="46" spans="2:6">
      <c r="B46" s="1545" t="s">
        <v>799</v>
      </c>
      <c r="C46" s="1545"/>
      <c r="D46" s="1545"/>
      <c r="E46" s="1545"/>
      <c r="F46" s="1545"/>
    </row>
    <row r="47" spans="2:6">
      <c r="B47" s="816"/>
      <c r="C47" s="816"/>
      <c r="D47" s="816"/>
      <c r="E47" s="816"/>
      <c r="F47" s="816"/>
    </row>
    <row r="49" spans="2:6" ht="13.8">
      <c r="B49" s="1507" t="s">
        <v>3528</v>
      </c>
      <c r="C49" s="1507"/>
      <c r="D49" s="1507"/>
      <c r="E49" s="1507"/>
      <c r="F49" s="1507"/>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I49"/>
  <sheetViews>
    <sheetView topLeftCell="A37" zoomScaleNormal="100" workbookViewId="0">
      <selection activeCell="F19" sqref="F19"/>
    </sheetView>
  </sheetViews>
  <sheetFormatPr defaultColWidth="9.109375" defaultRowHeight="13.2"/>
  <cols>
    <col min="1" max="4" width="4.6640625" style="322" customWidth="1"/>
    <col min="5" max="5" width="63.6640625" style="322" customWidth="1"/>
    <col min="6" max="6" width="16.5546875" style="322" customWidth="1"/>
    <col min="7" max="16384" width="9.109375" style="322"/>
  </cols>
  <sheetData>
    <row r="1" spans="1:9">
      <c r="A1" s="855"/>
      <c r="B1" s="855"/>
      <c r="C1" s="855"/>
      <c r="D1" s="855"/>
      <c r="E1" s="855"/>
      <c r="F1" s="855"/>
    </row>
    <row r="2" spans="1:9" ht="22.8">
      <c r="A2" s="855"/>
      <c r="B2" s="1593" t="str">
        <f>'9a-Cash Reconciliation'!B2:F2</f>
        <v xml:space="preserve">  CASH  RECONCILIATION  DECEMBER  31, 2019 (cont'd)  </v>
      </c>
      <c r="C2" s="1593"/>
      <c r="D2" s="1593"/>
      <c r="E2" s="1593"/>
      <c r="F2" s="1593"/>
      <c r="G2" s="737"/>
      <c r="H2" s="737"/>
      <c r="I2" s="737"/>
    </row>
    <row r="3" spans="1:9">
      <c r="A3" s="855"/>
      <c r="B3" s="855"/>
      <c r="C3" s="855"/>
      <c r="D3" s="855"/>
      <c r="E3" s="855"/>
      <c r="F3" s="855"/>
    </row>
    <row r="4" spans="1:9" ht="16.2" thickBot="1">
      <c r="A4" s="855"/>
      <c r="B4" s="1567" t="s">
        <v>798</v>
      </c>
      <c r="C4" s="1567"/>
      <c r="D4" s="1567"/>
      <c r="E4" s="1567"/>
      <c r="F4" s="1567"/>
    </row>
    <row r="5" spans="1:9" ht="21" customHeight="1" thickTop="1">
      <c r="A5" s="855"/>
      <c r="B5" s="884" t="s">
        <v>3540</v>
      </c>
      <c r="C5" s="885"/>
      <c r="D5" s="885"/>
      <c r="E5" s="885"/>
      <c r="F5" s="886">
        <f>+'9a.3-Cash Reconciliation'!F43</f>
        <v>48189000.640000001</v>
      </c>
    </row>
    <row r="6" spans="1:9" ht="21" customHeight="1">
      <c r="B6" s="566"/>
      <c r="C6" s="566"/>
      <c r="D6" s="566"/>
      <c r="E6" s="566"/>
      <c r="F6" s="568"/>
    </row>
    <row r="7" spans="1:9" ht="21" customHeight="1">
      <c r="B7" s="566" t="s">
        <v>3800</v>
      </c>
      <c r="C7" s="566"/>
      <c r="D7" s="566"/>
      <c r="E7" s="566"/>
      <c r="F7" s="568">
        <v>71436.69</v>
      </c>
    </row>
    <row r="8" spans="1:9" ht="21" customHeight="1">
      <c r="B8" s="566"/>
      <c r="C8" s="566"/>
      <c r="D8" s="566"/>
      <c r="E8" s="566"/>
      <c r="F8" s="568"/>
    </row>
    <row r="9" spans="1:9" ht="21" customHeight="1">
      <c r="B9" s="566" t="s">
        <v>3800</v>
      </c>
      <c r="C9" s="566"/>
      <c r="D9" s="566"/>
      <c r="E9" s="566"/>
      <c r="F9" s="568">
        <v>3883143.47</v>
      </c>
    </row>
    <row r="10" spans="1:9" ht="21" customHeight="1">
      <c r="B10" s="566" t="s">
        <v>3800</v>
      </c>
      <c r="C10" s="566"/>
      <c r="D10" s="566"/>
      <c r="E10" s="566"/>
      <c r="F10" s="568">
        <v>393607.98</v>
      </c>
      <c r="I10" s="377"/>
    </row>
    <row r="11" spans="1:9" ht="21" customHeight="1">
      <c r="B11" s="566" t="s">
        <v>3800</v>
      </c>
      <c r="C11" s="566"/>
      <c r="D11" s="566"/>
      <c r="E11" s="566"/>
      <c r="F11" s="568">
        <v>333424.53999999998</v>
      </c>
    </row>
    <row r="12" spans="1:9" ht="21" customHeight="1">
      <c r="B12" s="566" t="s">
        <v>3800</v>
      </c>
      <c r="C12" s="566"/>
      <c r="D12" s="566"/>
      <c r="E12" s="566"/>
      <c r="F12" s="568">
        <v>430565.45</v>
      </c>
    </row>
    <row r="13" spans="1:9" ht="21" customHeight="1">
      <c r="B13" s="566" t="s">
        <v>3800</v>
      </c>
      <c r="C13" s="566"/>
      <c r="D13" s="566"/>
      <c r="E13" s="566"/>
      <c r="F13" s="568">
        <v>53605.53</v>
      </c>
    </row>
    <row r="14" spans="1:9" ht="21" customHeight="1">
      <c r="B14" s="566" t="s">
        <v>3800</v>
      </c>
      <c r="C14" s="566"/>
      <c r="D14" s="566"/>
      <c r="E14" s="566"/>
      <c r="F14" s="568">
        <v>6801928.8799999999</v>
      </c>
    </row>
    <row r="15" spans="1:9" ht="21" customHeight="1">
      <c r="B15" s="566" t="s">
        <v>3800</v>
      </c>
      <c r="C15" s="566"/>
      <c r="D15" s="566"/>
      <c r="E15" s="566"/>
      <c r="F15" s="568">
        <v>105102.88</v>
      </c>
    </row>
    <row r="16" spans="1:9" ht="21" customHeight="1">
      <c r="B16" s="566" t="s">
        <v>3800</v>
      </c>
      <c r="C16" s="566"/>
      <c r="D16" s="566"/>
      <c r="E16" s="566"/>
      <c r="F16" s="568">
        <v>24844.93</v>
      </c>
    </row>
    <row r="17" spans="2:6" ht="21" customHeight="1">
      <c r="B17" s="566" t="s">
        <v>3800</v>
      </c>
      <c r="C17" s="566"/>
      <c r="D17" s="566"/>
      <c r="E17" s="566"/>
      <c r="F17" s="568">
        <v>275081.27</v>
      </c>
    </row>
    <row r="18" spans="2:6" ht="21" customHeight="1">
      <c r="B18" s="566" t="s">
        <v>3806</v>
      </c>
      <c r="C18" s="566"/>
      <c r="D18" s="566"/>
      <c r="E18" s="566"/>
      <c r="F18" s="568"/>
    </row>
    <row r="19" spans="2:6" ht="21" customHeight="1">
      <c r="B19" s="566" t="s">
        <v>3800</v>
      </c>
      <c r="C19" s="566"/>
      <c r="D19" s="566"/>
      <c r="E19" s="566"/>
      <c r="F19" s="568">
        <v>60625.88</v>
      </c>
    </row>
    <row r="20" spans="2:6" ht="21" customHeight="1">
      <c r="B20" s="566" t="s">
        <v>3800</v>
      </c>
      <c r="C20" s="566"/>
      <c r="D20" s="566"/>
      <c r="E20" s="566"/>
      <c r="F20" s="568">
        <v>71248.63</v>
      </c>
    </row>
    <row r="21" spans="2:6" ht="21" customHeight="1">
      <c r="B21" s="566" t="s">
        <v>3800</v>
      </c>
      <c r="C21" s="566"/>
      <c r="D21" s="566"/>
      <c r="E21" s="566"/>
      <c r="F21" s="568">
        <v>395485</v>
      </c>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3643</v>
      </c>
      <c r="C43" s="27"/>
      <c r="D43" s="27"/>
      <c r="E43" s="27"/>
      <c r="F43" s="222">
        <f>SUM(F5:F42)</f>
        <v>61089101.770000011</v>
      </c>
    </row>
    <row r="44" spans="2:6" ht="13.8" thickTop="1"/>
    <row r="45" spans="2:6">
      <c r="B45" s="1545" t="s">
        <v>789</v>
      </c>
      <c r="C45" s="1545"/>
      <c r="D45" s="1545"/>
      <c r="E45" s="1545"/>
      <c r="F45" s="1545"/>
    </row>
    <row r="46" spans="2:6">
      <c r="B46" s="1545" t="s">
        <v>799</v>
      </c>
      <c r="C46" s="1545"/>
      <c r="D46" s="1545"/>
      <c r="E46" s="1545"/>
      <c r="F46" s="1545"/>
    </row>
    <row r="47" spans="2:6">
      <c r="B47" s="816"/>
      <c r="C47" s="816"/>
      <c r="D47" s="816"/>
      <c r="E47" s="816"/>
      <c r="F47" s="816"/>
    </row>
    <row r="49" spans="2:6" ht="13.8">
      <c r="B49" s="1507" t="s">
        <v>3544</v>
      </c>
      <c r="C49" s="1507"/>
      <c r="D49" s="1507"/>
      <c r="E49" s="1507"/>
      <c r="F49" s="1507"/>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N31"/>
  <sheetViews>
    <sheetView topLeftCell="A7" zoomScaleNormal="100" workbookViewId="0">
      <selection activeCell="H8" sqref="H8:H17"/>
    </sheetView>
  </sheetViews>
  <sheetFormatPr defaultRowHeight="13.2"/>
  <cols>
    <col min="1" max="1" width="5.6640625" customWidth="1"/>
    <col min="2" max="4" width="4.88671875" customWidth="1"/>
    <col min="5" max="5" width="36.44140625" customWidth="1"/>
    <col min="6" max="11" width="15.6640625" customWidth="1"/>
    <col min="12" max="12" width="11.88671875" bestFit="1" customWidth="1"/>
  </cols>
  <sheetData>
    <row r="1" spans="1:14">
      <c r="B1" s="322"/>
      <c r="C1" s="322"/>
      <c r="D1" s="322"/>
      <c r="E1" s="322"/>
      <c r="F1" s="322"/>
      <c r="G1" s="322"/>
      <c r="H1" s="322"/>
      <c r="I1" s="322"/>
      <c r="J1" s="322"/>
      <c r="K1" s="322"/>
    </row>
    <row r="2" spans="1:14" ht="20.399999999999999">
      <c r="B2" s="1508" t="s">
        <v>296</v>
      </c>
      <c r="C2" s="1508"/>
      <c r="D2" s="1508"/>
      <c r="E2" s="1508"/>
      <c r="F2" s="1508"/>
      <c r="G2" s="1508"/>
      <c r="H2" s="1508"/>
      <c r="I2" s="1508"/>
      <c r="J2" s="1508"/>
      <c r="K2" s="1508"/>
    </row>
    <row r="3" spans="1:14" ht="21" thickBot="1">
      <c r="B3" s="1508" t="s">
        <v>297</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5" t="s">
        <v>805</v>
      </c>
      <c r="C5" s="1545"/>
      <c r="D5" s="1545"/>
      <c r="E5" s="1594"/>
      <c r="F5" s="282" t="s">
        <v>672</v>
      </c>
      <c r="G5" s="282" t="s">
        <v>677</v>
      </c>
      <c r="H5" s="282" t="s">
        <v>804</v>
      </c>
      <c r="I5" s="790" t="s">
        <v>280</v>
      </c>
      <c r="J5" s="255" t="s">
        <v>566</v>
      </c>
      <c r="K5" s="866" t="s">
        <v>672</v>
      </c>
    </row>
    <row r="6" spans="1:14">
      <c r="B6" s="322"/>
      <c r="C6" s="322"/>
      <c r="D6" s="322"/>
      <c r="E6" s="322"/>
      <c r="F6" s="299" t="str">
        <f>'KEY INPUTS'!D47</f>
        <v>Jan. 1, 2019</v>
      </c>
      <c r="G6" s="282" t="s">
        <v>802</v>
      </c>
      <c r="H6" s="282"/>
      <c r="I6" s="15"/>
      <c r="J6" s="821"/>
      <c r="K6" s="867" t="str">
        <f>'KEY INPUTS'!D46</f>
        <v>Dec. 31, 2019</v>
      </c>
    </row>
    <row r="7" spans="1:14" ht="13.8" thickBot="1">
      <c r="B7" s="10"/>
      <c r="C7" s="10"/>
      <c r="D7" s="10"/>
      <c r="E7" s="10"/>
      <c r="F7" s="14"/>
      <c r="G7" s="16" t="s">
        <v>803</v>
      </c>
      <c r="H7" s="14"/>
      <c r="I7" s="14"/>
      <c r="J7" s="17"/>
      <c r="K7" s="868"/>
    </row>
    <row r="8" spans="1:14" ht="21" customHeight="1" thickTop="1">
      <c r="B8" s="642" t="s">
        <v>3896</v>
      </c>
      <c r="C8" s="569"/>
      <c r="D8" s="569"/>
      <c r="E8" s="570"/>
      <c r="F8" s="571">
        <v>49356.46</v>
      </c>
      <c r="G8" s="571">
        <v>42655</v>
      </c>
      <c r="H8" s="571">
        <v>43968.36</v>
      </c>
      <c r="I8" s="571"/>
      <c r="J8" s="571"/>
      <c r="K8" s="887">
        <f>+F8+G8-H8+I8-J8</f>
        <v>48043.099999999991</v>
      </c>
    </row>
    <row r="9" spans="1:14" ht="21" customHeight="1">
      <c r="B9" s="566" t="s">
        <v>3897</v>
      </c>
      <c r="C9" s="767"/>
      <c r="D9" s="566"/>
      <c r="E9" s="572"/>
      <c r="F9" s="374">
        <v>400</v>
      </c>
      <c r="G9" s="374"/>
      <c r="H9" s="374"/>
      <c r="I9" s="374"/>
      <c r="J9" s="374"/>
      <c r="K9" s="846">
        <f t="shared" ref="K9:K26" si="0">+F9+G9-H9+I9-J9</f>
        <v>400</v>
      </c>
      <c r="L9" s="325"/>
    </row>
    <row r="10" spans="1:14" ht="21" customHeight="1">
      <c r="B10" s="566" t="s">
        <v>3898</v>
      </c>
      <c r="C10" s="768"/>
      <c r="D10" s="566"/>
      <c r="E10" s="572"/>
      <c r="F10" s="374"/>
      <c r="G10" s="374">
        <v>750000</v>
      </c>
      <c r="H10" s="374">
        <v>750000</v>
      </c>
      <c r="I10" s="374"/>
      <c r="J10" s="374"/>
      <c r="K10" s="846">
        <f t="shared" si="0"/>
        <v>0</v>
      </c>
      <c r="L10" s="228"/>
      <c r="N10" s="377"/>
    </row>
    <row r="11" spans="1:14" ht="21" customHeight="1">
      <c r="B11" s="567" t="s">
        <v>3899</v>
      </c>
      <c r="C11" s="769"/>
      <c r="D11" s="566"/>
      <c r="E11" s="572"/>
      <c r="F11" s="374"/>
      <c r="G11" s="374">
        <v>4500</v>
      </c>
      <c r="H11" s="374">
        <v>4500</v>
      </c>
      <c r="I11" s="374"/>
      <c r="J11" s="374"/>
      <c r="K11" s="846">
        <f t="shared" si="0"/>
        <v>0</v>
      </c>
      <c r="L11" s="228"/>
    </row>
    <row r="12" spans="1:14" ht="21" customHeight="1">
      <c r="B12" s="566" t="s">
        <v>3900</v>
      </c>
      <c r="C12" s="767"/>
      <c r="D12" s="566"/>
      <c r="E12" s="572"/>
      <c r="F12" s="374"/>
      <c r="G12" s="374">
        <v>61249.14</v>
      </c>
      <c r="H12" s="374">
        <v>61249.14</v>
      </c>
      <c r="I12" s="374"/>
      <c r="J12" s="374"/>
      <c r="K12" s="846">
        <f t="shared" si="0"/>
        <v>0</v>
      </c>
      <c r="L12" s="228"/>
    </row>
    <row r="13" spans="1:14" ht="21" customHeight="1">
      <c r="B13" s="566" t="s">
        <v>3901</v>
      </c>
      <c r="C13" s="768"/>
      <c r="D13" s="566"/>
      <c r="E13" s="572"/>
      <c r="F13" s="374"/>
      <c r="G13" s="374">
        <v>8598.8799999999992</v>
      </c>
      <c r="H13" s="374">
        <v>8598.8799999999992</v>
      </c>
      <c r="I13" s="374"/>
      <c r="J13" s="374"/>
      <c r="K13" s="846">
        <f t="shared" si="0"/>
        <v>0</v>
      </c>
      <c r="L13" s="228"/>
    </row>
    <row r="14" spans="1:14" ht="21" customHeight="1">
      <c r="B14" s="566" t="s">
        <v>3902</v>
      </c>
      <c r="C14" s="767"/>
      <c r="D14" s="566"/>
      <c r="E14" s="572"/>
      <c r="F14" s="374"/>
      <c r="G14" s="374">
        <v>4877</v>
      </c>
      <c r="H14" s="374">
        <v>4877</v>
      </c>
      <c r="I14" s="374"/>
      <c r="J14" s="374"/>
      <c r="K14" s="846">
        <f t="shared" si="0"/>
        <v>0</v>
      </c>
      <c r="L14" s="228"/>
    </row>
    <row r="15" spans="1:14" ht="21" customHeight="1">
      <c r="A15" s="1576" t="s">
        <v>801</v>
      </c>
      <c r="B15" s="566" t="s">
        <v>3903</v>
      </c>
      <c r="C15" s="767"/>
      <c r="D15" s="566"/>
      <c r="E15" s="572"/>
      <c r="F15" s="374"/>
      <c r="G15" s="374">
        <v>80941.919999999998</v>
      </c>
      <c r="H15" s="374">
        <v>80941.919999999998</v>
      </c>
      <c r="I15" s="374"/>
      <c r="J15" s="374"/>
      <c r="K15" s="846">
        <f t="shared" si="0"/>
        <v>0</v>
      </c>
      <c r="L15" s="228"/>
    </row>
    <row r="16" spans="1:14" ht="21" customHeight="1">
      <c r="A16" s="1576"/>
      <c r="B16" s="566" t="s">
        <v>3904</v>
      </c>
      <c r="C16" s="769"/>
      <c r="D16" s="566"/>
      <c r="E16" s="572"/>
      <c r="F16" s="374">
        <v>40000</v>
      </c>
      <c r="G16" s="374">
        <v>60000</v>
      </c>
      <c r="H16" s="374">
        <v>60000</v>
      </c>
      <c r="I16" s="374"/>
      <c r="J16" s="374"/>
      <c r="K16" s="846">
        <f t="shared" si="0"/>
        <v>40000</v>
      </c>
      <c r="L16" s="228"/>
    </row>
    <row r="17" spans="1:12" ht="21" customHeight="1">
      <c r="A17" s="1576"/>
      <c r="B17" s="566" t="s">
        <v>3905</v>
      </c>
      <c r="C17" s="767"/>
      <c r="D17" s="566"/>
      <c r="E17" s="572"/>
      <c r="F17" s="374"/>
      <c r="G17" s="374">
        <v>5500</v>
      </c>
      <c r="H17" s="374">
        <v>5500</v>
      </c>
      <c r="I17" s="374"/>
      <c r="J17" s="374"/>
      <c r="K17" s="846">
        <f t="shared" si="0"/>
        <v>0</v>
      </c>
      <c r="L17" s="228"/>
    </row>
    <row r="18" spans="1:12" ht="21" customHeight="1">
      <c r="B18" s="566" t="s">
        <v>3906</v>
      </c>
      <c r="C18" s="768"/>
      <c r="D18" s="566"/>
      <c r="E18" s="572"/>
      <c r="F18" s="374">
        <v>33327.339999999997</v>
      </c>
      <c r="G18" s="374"/>
      <c r="H18" s="374"/>
      <c r="I18" s="374"/>
      <c r="J18" s="374"/>
      <c r="K18" s="846">
        <f t="shared" si="0"/>
        <v>33327.339999999997</v>
      </c>
      <c r="L18" s="228"/>
    </row>
    <row r="19" spans="1:12" ht="21" customHeight="1">
      <c r="B19" s="567" t="s">
        <v>3907</v>
      </c>
      <c r="C19" s="767"/>
      <c r="D19" s="566"/>
      <c r="E19" s="572"/>
      <c r="F19" s="374">
        <v>84094.94</v>
      </c>
      <c r="G19" s="374"/>
      <c r="H19" s="374"/>
      <c r="I19" s="374"/>
      <c r="J19" s="374"/>
      <c r="K19" s="846">
        <f t="shared" si="0"/>
        <v>84094.94</v>
      </c>
      <c r="L19" s="228"/>
    </row>
    <row r="20" spans="1:12" s="322" customFormat="1" ht="21" customHeight="1">
      <c r="B20" s="566" t="s">
        <v>3908</v>
      </c>
      <c r="C20" s="767"/>
      <c r="D20" s="567"/>
      <c r="E20" s="572"/>
      <c r="F20" s="374">
        <v>36041.4</v>
      </c>
      <c r="G20" s="374"/>
      <c r="H20" s="374"/>
      <c r="I20" s="374"/>
      <c r="J20" s="374"/>
      <c r="K20" s="846">
        <f t="shared" si="0"/>
        <v>36041.4</v>
      </c>
      <c r="L20" s="325"/>
    </row>
    <row r="21" spans="1:12" ht="21" customHeight="1">
      <c r="B21" s="566" t="s">
        <v>3909</v>
      </c>
      <c r="C21" s="767"/>
      <c r="D21" s="566"/>
      <c r="E21" s="572"/>
      <c r="F21" s="374">
        <v>7000</v>
      </c>
      <c r="G21" s="374"/>
      <c r="H21" s="374"/>
      <c r="I21" s="374"/>
      <c r="J21" s="374"/>
      <c r="K21" s="846">
        <f t="shared" si="0"/>
        <v>7000</v>
      </c>
      <c r="L21" s="228"/>
    </row>
    <row r="22" spans="1:12" s="322" customFormat="1" ht="21" customHeight="1">
      <c r="B22" s="566" t="s">
        <v>3910</v>
      </c>
      <c r="C22" s="767"/>
      <c r="D22" s="566"/>
      <c r="E22" s="572"/>
      <c r="F22" s="374">
        <v>5</v>
      </c>
      <c r="G22" s="374"/>
      <c r="H22" s="374"/>
      <c r="I22" s="374"/>
      <c r="J22" s="374"/>
      <c r="K22" s="846">
        <f t="shared" si="0"/>
        <v>5</v>
      </c>
      <c r="L22" s="325"/>
    </row>
    <row r="23" spans="1:12" ht="21" customHeight="1">
      <c r="B23" s="566" t="s">
        <v>3911</v>
      </c>
      <c r="C23" s="768"/>
      <c r="D23" s="566"/>
      <c r="E23" s="572"/>
      <c r="F23" s="374">
        <v>2600</v>
      </c>
      <c r="G23" s="374"/>
      <c r="H23" s="374"/>
      <c r="I23" s="374"/>
      <c r="J23" s="374"/>
      <c r="K23" s="846">
        <f t="shared" si="0"/>
        <v>2600</v>
      </c>
    </row>
    <row r="24" spans="1:12" ht="21" customHeight="1">
      <c r="B24" s="566"/>
      <c r="C24" s="768"/>
      <c r="D24" s="566"/>
      <c r="E24" s="572"/>
      <c r="F24" s="374"/>
      <c r="G24" s="374"/>
      <c r="H24" s="374"/>
      <c r="I24" s="374"/>
      <c r="J24" s="374"/>
      <c r="K24" s="846">
        <f t="shared" si="0"/>
        <v>0</v>
      </c>
      <c r="L24" s="228"/>
    </row>
    <row r="25" spans="1:12" ht="21" customHeight="1">
      <c r="B25" s="566"/>
      <c r="C25" s="768"/>
      <c r="D25" s="566"/>
      <c r="E25" s="572"/>
      <c r="F25" s="374"/>
      <c r="G25" s="374"/>
      <c r="H25" s="374"/>
      <c r="I25" s="374"/>
      <c r="J25" s="374"/>
      <c r="K25" s="846">
        <f t="shared" si="0"/>
        <v>0</v>
      </c>
      <c r="L25" s="228"/>
    </row>
    <row r="26" spans="1:12" ht="21" customHeight="1">
      <c r="B26" s="566"/>
      <c r="C26" s="768"/>
      <c r="D26" s="566"/>
      <c r="E26" s="572"/>
      <c r="F26" s="374"/>
      <c r="G26" s="374"/>
      <c r="H26" s="374"/>
      <c r="I26" s="374"/>
      <c r="J26" s="374"/>
      <c r="K26" s="846">
        <f t="shared" si="0"/>
        <v>0</v>
      </c>
    </row>
    <row r="27" spans="1:12" ht="21" customHeight="1" thickBot="1">
      <c r="B27" s="27"/>
      <c r="C27" s="27" t="s">
        <v>3546</v>
      </c>
      <c r="D27" s="27"/>
      <c r="E27" s="41"/>
      <c r="F27" s="99">
        <f t="shared" ref="F27:J27" si="1">SUM(F8:F26)</f>
        <v>252825.13999999998</v>
      </c>
      <c r="G27" s="99">
        <f t="shared" si="1"/>
        <v>1018321.9400000001</v>
      </c>
      <c r="H27" s="99">
        <f t="shared" si="1"/>
        <v>1019635.3</v>
      </c>
      <c r="I27" s="99">
        <f t="shared" si="1"/>
        <v>0</v>
      </c>
      <c r="J27" s="99">
        <f t="shared" si="1"/>
        <v>0</v>
      </c>
      <c r="K27" s="864">
        <f>SUM(K8:K26)</f>
        <v>251511.78</v>
      </c>
      <c r="L27" s="711"/>
    </row>
    <row r="28" spans="1:12" ht="13.8"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32"/>
  <sheetViews>
    <sheetView zoomScaleNormal="100" workbookViewId="0">
      <selection activeCell="B1" sqref="B1"/>
    </sheetView>
  </sheetViews>
  <sheetFormatPr defaultRowHeight="13.2"/>
  <cols>
    <col min="1" max="1" width="5.6640625" customWidth="1"/>
    <col min="2" max="4" width="4.88671875" customWidth="1"/>
    <col min="5" max="5" width="36.109375" customWidth="1"/>
    <col min="6" max="11" width="15.6640625" customWidth="1"/>
    <col min="12" max="12" width="11.88671875" bestFit="1" customWidth="1"/>
  </cols>
  <sheetData>
    <row r="1" spans="1:14">
      <c r="A1" s="855"/>
      <c r="B1" s="855"/>
      <c r="C1" s="855"/>
      <c r="D1" s="855"/>
      <c r="E1" s="855"/>
      <c r="F1" s="855"/>
      <c r="G1" s="855"/>
      <c r="H1" s="855"/>
      <c r="I1" s="855"/>
      <c r="J1" s="855"/>
      <c r="K1" s="855"/>
    </row>
    <row r="2" spans="1:14" ht="20.399999999999999">
      <c r="A2" s="855"/>
      <c r="B2" s="1595" t="s">
        <v>296</v>
      </c>
      <c r="C2" s="1595"/>
      <c r="D2" s="1595"/>
      <c r="E2" s="1595"/>
      <c r="F2" s="1595"/>
      <c r="G2" s="1595"/>
      <c r="H2" s="1595"/>
      <c r="I2" s="1595"/>
      <c r="J2" s="1595"/>
      <c r="K2" s="1595"/>
    </row>
    <row r="3" spans="1:14" ht="21" thickBot="1">
      <c r="A3" s="855"/>
      <c r="B3" s="1595" t="s">
        <v>790</v>
      </c>
      <c r="C3" s="1595"/>
      <c r="D3" s="1595"/>
      <c r="E3" s="1595"/>
      <c r="F3" s="1595"/>
      <c r="G3" s="1595"/>
      <c r="H3" s="1595"/>
      <c r="I3" s="1595"/>
      <c r="J3" s="1595"/>
      <c r="K3" s="1595"/>
    </row>
    <row r="4" spans="1:14" ht="13.8" thickTop="1">
      <c r="A4" s="855"/>
      <c r="B4" s="888"/>
      <c r="C4" s="888"/>
      <c r="D4" s="888"/>
      <c r="E4" s="888"/>
      <c r="F4" s="889"/>
      <c r="G4" s="889">
        <f>'KEY INPUTS'!D34</f>
        <v>2019</v>
      </c>
      <c r="H4" s="889"/>
      <c r="I4" s="890"/>
      <c r="J4" s="888"/>
      <c r="K4" s="865"/>
    </row>
    <row r="5" spans="1:14">
      <c r="A5" s="855"/>
      <c r="B5" s="1596" t="s">
        <v>805</v>
      </c>
      <c r="C5" s="1596"/>
      <c r="D5" s="1596"/>
      <c r="E5" s="1597"/>
      <c r="F5" s="891" t="s">
        <v>672</v>
      </c>
      <c r="G5" s="891" t="s">
        <v>677</v>
      </c>
      <c r="H5" s="891" t="s">
        <v>804</v>
      </c>
      <c r="I5" s="892" t="s">
        <v>280</v>
      </c>
      <c r="J5" s="893" t="s">
        <v>566</v>
      </c>
      <c r="K5" s="866" t="s">
        <v>672</v>
      </c>
    </row>
    <row r="6" spans="1:14">
      <c r="A6" s="855"/>
      <c r="B6" s="855"/>
      <c r="C6" s="855"/>
      <c r="D6" s="855"/>
      <c r="E6" s="855"/>
      <c r="F6" s="894" t="str">
        <f>'10-Grants Receivable'!F6</f>
        <v>Jan. 1, 2019</v>
      </c>
      <c r="G6" s="891" t="s">
        <v>802</v>
      </c>
      <c r="H6" s="891"/>
      <c r="I6" s="895"/>
      <c r="J6" s="896"/>
      <c r="K6" s="867" t="str">
        <f>'10-Grants Receivable'!K6</f>
        <v>Dec. 31, 2019</v>
      </c>
    </row>
    <row r="7" spans="1:14" ht="13.8" thickBot="1">
      <c r="A7" s="855"/>
      <c r="B7" s="897"/>
      <c r="C7" s="897"/>
      <c r="D7" s="897"/>
      <c r="E7" s="897"/>
      <c r="F7" s="898"/>
      <c r="G7" s="899" t="s">
        <v>803</v>
      </c>
      <c r="H7" s="898"/>
      <c r="I7" s="898"/>
      <c r="J7" s="900"/>
      <c r="K7" s="868"/>
    </row>
    <row r="8" spans="1:14" ht="21" customHeight="1" thickTop="1">
      <c r="A8" s="855"/>
      <c r="B8" s="885" t="s">
        <v>3547</v>
      </c>
      <c r="C8" s="885"/>
      <c r="D8" s="885"/>
      <c r="E8" s="901"/>
      <c r="F8" s="902">
        <f>+'10-Grants Receivable'!F27</f>
        <v>252825.13999999998</v>
      </c>
      <c r="G8" s="902">
        <f>+'10-Grants Receivable'!G27</f>
        <v>1018321.9400000001</v>
      </c>
      <c r="H8" s="902">
        <f>+'10-Grants Receivable'!H27</f>
        <v>1019635.3</v>
      </c>
      <c r="I8" s="902">
        <f>+'10-Grants Receivable'!I27</f>
        <v>0</v>
      </c>
      <c r="J8" s="902">
        <f>+'10-Grants Receivable'!J27</f>
        <v>0</v>
      </c>
      <c r="K8" s="903">
        <f>+'10-Grants Receivable'!K27</f>
        <v>251511.78</v>
      </c>
    </row>
    <row r="9" spans="1:14" ht="21" customHeight="1">
      <c r="B9" s="566"/>
      <c r="C9" s="566"/>
      <c r="D9" s="566"/>
      <c r="E9" s="572"/>
      <c r="F9" s="374"/>
      <c r="G9" s="374"/>
      <c r="H9" s="374"/>
      <c r="I9" s="374"/>
      <c r="J9" s="374"/>
      <c r="K9" s="904">
        <f>+F9+G9-H9+I9-J9</f>
        <v>0</v>
      </c>
      <c r="L9" s="228"/>
    </row>
    <row r="10" spans="1:14" ht="21" customHeight="1">
      <c r="B10" s="566"/>
      <c r="C10" s="566"/>
      <c r="D10" s="566"/>
      <c r="E10" s="572"/>
      <c r="F10" s="374"/>
      <c r="G10" s="374"/>
      <c r="H10" s="374"/>
      <c r="I10" s="374"/>
      <c r="J10" s="374"/>
      <c r="K10" s="904">
        <f t="shared" ref="K10:K26" si="0">+F10+G10-H10+I10-J10</f>
        <v>0</v>
      </c>
      <c r="N10" s="377"/>
    </row>
    <row r="11" spans="1:14" ht="21" customHeight="1">
      <c r="B11" s="566"/>
      <c r="C11" s="566"/>
      <c r="D11" s="566"/>
      <c r="E11" s="572"/>
      <c r="F11" s="374"/>
      <c r="G11" s="374"/>
      <c r="H11" s="374"/>
      <c r="I11" s="374"/>
      <c r="J11" s="374"/>
      <c r="K11" s="846">
        <f t="shared" si="0"/>
        <v>0</v>
      </c>
      <c r="L11" s="228"/>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3548</v>
      </c>
      <c r="B15" s="566"/>
      <c r="C15" s="567"/>
      <c r="D15" s="566"/>
      <c r="E15" s="572"/>
      <c r="F15" s="374"/>
      <c r="G15" s="374"/>
      <c r="H15" s="374"/>
      <c r="I15" s="374"/>
      <c r="J15" s="374"/>
      <c r="K15" s="905">
        <f t="shared" si="0"/>
        <v>0</v>
      </c>
    </row>
    <row r="16" spans="1:14" ht="21" customHeight="1">
      <c r="A16" s="1576"/>
      <c r="B16" s="566"/>
      <c r="C16" s="567"/>
      <c r="D16" s="566"/>
      <c r="E16" s="572"/>
      <c r="F16" s="374"/>
      <c r="G16" s="374"/>
      <c r="H16" s="374"/>
      <c r="I16" s="374"/>
      <c r="J16" s="374"/>
      <c r="K16" s="906">
        <f t="shared" si="0"/>
        <v>0</v>
      </c>
    </row>
    <row r="17" spans="1:12" ht="21" customHeight="1">
      <c r="A17" s="1576"/>
      <c r="B17" s="566"/>
      <c r="C17" s="567"/>
      <c r="D17" s="566"/>
      <c r="E17" s="572"/>
      <c r="F17" s="374"/>
      <c r="G17" s="374"/>
      <c r="H17" s="374"/>
      <c r="I17" s="374"/>
      <c r="J17" s="374"/>
      <c r="K17" s="904">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905">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90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905">
        <f t="shared" si="0"/>
        <v>0</v>
      </c>
    </row>
    <row r="25" spans="1:12" ht="21" customHeight="1">
      <c r="B25" s="566"/>
      <c r="C25" s="566"/>
      <c r="D25" s="566"/>
      <c r="E25" s="572"/>
      <c r="F25" s="374"/>
      <c r="G25" s="374"/>
      <c r="H25" s="374"/>
      <c r="I25" s="374"/>
      <c r="J25" s="374"/>
      <c r="K25" s="90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J27" si="1">SUM(F8:F26)</f>
        <v>252825.13999999998</v>
      </c>
      <c r="G27" s="99">
        <f t="shared" si="1"/>
        <v>1018321.9400000001</v>
      </c>
      <c r="H27" s="99">
        <f t="shared" si="1"/>
        <v>1019635.3</v>
      </c>
      <c r="I27" s="99">
        <f t="shared" si="1"/>
        <v>0</v>
      </c>
      <c r="J27" s="99">
        <f t="shared" si="1"/>
        <v>0</v>
      </c>
      <c r="K27" s="907">
        <f>SUM(K8:K26)</f>
        <v>251511.78</v>
      </c>
    </row>
    <row r="28" spans="1:12" ht="13.8"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5"/>
      <c r="C1" s="855"/>
      <c r="D1" s="855"/>
      <c r="E1" s="855"/>
      <c r="F1" s="855"/>
      <c r="G1" s="855"/>
      <c r="H1" s="855"/>
      <c r="I1" s="855"/>
      <c r="J1" s="855"/>
      <c r="K1" s="855"/>
    </row>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+'10.1-Grants Receivable'!F27</f>
        <v>252825.13999999998</v>
      </c>
      <c r="G8" s="902">
        <f>+'10.1-Grants Receivable'!G27</f>
        <v>1018321.9400000001</v>
      </c>
      <c r="H8" s="902">
        <f>+'10.1-Grants Receivable'!H27</f>
        <v>1019635.3</v>
      </c>
      <c r="I8" s="902">
        <f>+'10.1-Grants Receivable'!I27</f>
        <v>0</v>
      </c>
      <c r="J8" s="902">
        <f>+'10.1-Grants Receivable'!J27</f>
        <v>0</v>
      </c>
      <c r="K8" s="903">
        <f>+'10.1-Grants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3549</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algorithmName="SHA-512" hashValue="IOi6Nwzn0z9hs3eI9WWfS+U3x6cxIvqyL3CbGbhBa+k+L55ENtEiyEvvOPJG5SjEa2Jxv0m40PI6Rp51FCJu/Q==" saltValue="b3z5dp/HY6xVNeGem1r6L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5"/>
      <c r="C1" s="855"/>
      <c r="D1" s="855"/>
      <c r="E1" s="855"/>
      <c r="F1" s="855"/>
      <c r="G1" s="855"/>
      <c r="H1" s="855"/>
      <c r="I1" s="855"/>
      <c r="J1" s="855"/>
      <c r="K1" s="855"/>
    </row>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+'10.2-Grants Receivable'!F27</f>
        <v>252825.13999999998</v>
      </c>
      <c r="G8" s="902">
        <f>+'10.2-Grants Receivable'!G27</f>
        <v>1018321.9400000001</v>
      </c>
      <c r="H8" s="902">
        <f>+'10.2-Grants Receivable'!H27</f>
        <v>1019635.3</v>
      </c>
      <c r="I8" s="902">
        <f>+'10.2-Grants Receivable'!I27</f>
        <v>0</v>
      </c>
      <c r="J8" s="902">
        <f>+'10.2-Grants Receivable'!J27</f>
        <v>0</v>
      </c>
      <c r="K8" s="903">
        <f>+'10.2-Grants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3550</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5"/>
      <c r="C1" s="855"/>
      <c r="D1" s="855"/>
      <c r="E1" s="855"/>
      <c r="F1" s="855"/>
      <c r="G1" s="855"/>
      <c r="H1" s="855"/>
      <c r="I1" s="855"/>
      <c r="J1" s="855"/>
      <c r="K1" s="855"/>
    </row>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+'10.3-Grants Receivable'!F27</f>
        <v>252825.13999999998</v>
      </c>
      <c r="G8" s="902">
        <f>+'10.3-Grants Receivable'!G27</f>
        <v>1018321.9400000001</v>
      </c>
      <c r="H8" s="902">
        <f>+'10.3-Grants Receivable'!H27</f>
        <v>1019635.3</v>
      </c>
      <c r="I8" s="902">
        <f>+'10.3-Grants Receivable'!I27</f>
        <v>0</v>
      </c>
      <c r="J8" s="902">
        <f>+'10.3-Grants Receivable'!J27</f>
        <v>0</v>
      </c>
      <c r="K8" s="903">
        <f>+'10.3-Grants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3551</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C000"/>
  </sheetPr>
  <dimension ref="B1:D23"/>
  <sheetViews>
    <sheetView zoomScale="130" zoomScaleNormal="130" workbookViewId="0">
      <selection activeCell="B1" sqref="B1:D1"/>
    </sheetView>
  </sheetViews>
  <sheetFormatPr defaultRowHeight="13.2"/>
  <cols>
    <col min="2" max="2" width="43.44140625" customWidth="1"/>
    <col min="3" max="3" width="13" bestFit="1" customWidth="1"/>
  </cols>
  <sheetData>
    <row r="1" spans="2:4" s="322" customFormat="1" ht="17.399999999999999">
      <c r="B1" s="1512" t="s">
        <v>3470</v>
      </c>
      <c r="C1" s="1512"/>
      <c r="D1" s="1512"/>
    </row>
    <row r="4" spans="2:4">
      <c r="B4" s="324" t="s">
        <v>3457</v>
      </c>
      <c r="C4" s="325">
        <f>'21-Current Fund Surplus'!L7</f>
        <v>3772389.22</v>
      </c>
    </row>
    <row r="5" spans="2:4">
      <c r="B5" s="324" t="s">
        <v>3458</v>
      </c>
      <c r="C5" s="325">
        <f>'21-Current Fund Surplus'!K14</f>
        <v>5979853.8700000048</v>
      </c>
    </row>
    <row r="6" spans="2:4" s="322" customFormat="1">
      <c r="B6" s="324" t="s">
        <v>3461</v>
      </c>
      <c r="C6" s="325">
        <f>'19-Results of Op-Cur Fnd'!I45</f>
        <v>16048270.500000004</v>
      </c>
    </row>
    <row r="8" spans="2:4">
      <c r="B8" s="324" t="s">
        <v>3459</v>
      </c>
      <c r="C8" s="325">
        <f>'21-Current Fund Surplus'!L23</f>
        <v>33818416.800000004</v>
      </c>
    </row>
    <row r="9" spans="2:4" s="322" customFormat="1">
      <c r="B9" s="324" t="s">
        <v>3460</v>
      </c>
      <c r="C9" s="325">
        <f>'21-Current Fund Surplus'!L24</f>
        <v>25936.54</v>
      </c>
    </row>
    <row r="10" spans="2:4">
      <c r="B10" s="324" t="s">
        <v>3468</v>
      </c>
      <c r="C10" s="325">
        <f>'21-Current Fund Surplus'!L27</f>
        <v>28074499.470000003</v>
      </c>
    </row>
    <row r="12" spans="2:4">
      <c r="B12" s="324" t="s">
        <v>212</v>
      </c>
      <c r="C12" s="325">
        <f>'17-Budget Revenues'!I6</f>
        <v>3100000</v>
      </c>
    </row>
    <row r="13" spans="2:4">
      <c r="B13" s="324" t="s">
        <v>341</v>
      </c>
      <c r="C13" s="325">
        <f>'17-Budget Revenues'!H21</f>
        <v>34284739.780000001</v>
      </c>
    </row>
    <row r="14" spans="2:4">
      <c r="B14" s="324" t="s">
        <v>1008</v>
      </c>
      <c r="C14" s="325">
        <f>'17-Budget Revenues'!H14</f>
        <v>23055435.91</v>
      </c>
    </row>
    <row r="15" spans="2:4">
      <c r="B15" s="324" t="s">
        <v>1014</v>
      </c>
      <c r="C15" s="325">
        <f>'17-Budget Revenues'!H15</f>
        <v>1065000</v>
      </c>
    </row>
    <row r="16" spans="2:4">
      <c r="B16" s="324" t="s">
        <v>3469</v>
      </c>
      <c r="C16" s="325">
        <f>'17-Budget Revenues'!I22</f>
        <v>64363669.99000001</v>
      </c>
    </row>
    <row r="18" spans="2:3">
      <c r="B18" s="324" t="s">
        <v>3462</v>
      </c>
      <c r="C18" s="325">
        <f>'18-Budget Appropriations'!J17</f>
        <v>61501485.910000004</v>
      </c>
    </row>
    <row r="20" spans="2:3">
      <c r="B20" s="324" t="s">
        <v>3463</v>
      </c>
      <c r="C20" s="325">
        <f>'31-Capital Bond Schedule'!G12+'31-Capital Bond Schedule'!G23+'32-Bond Schedule'!G11+'32-Bond Schedule'!G22</f>
        <v>32329000</v>
      </c>
    </row>
    <row r="21" spans="2:3" s="322" customFormat="1">
      <c r="B21" s="324" t="s">
        <v>3466</v>
      </c>
      <c r="C21" s="325">
        <f>'31A-Loan Schedule'!G12+'31A-Loan Schedule'!G23</f>
        <v>0</v>
      </c>
    </row>
    <row r="22" spans="2:3">
      <c r="B22" s="324" t="s">
        <v>3464</v>
      </c>
      <c r="C22" s="325">
        <f>'33-Note Debt Service'!G23+'34-Assmt Note Debt Service'!G23</f>
        <v>4967750</v>
      </c>
    </row>
    <row r="23" spans="2:3">
      <c r="B23" s="324" t="s">
        <v>3465</v>
      </c>
      <c r="C23" s="325">
        <f>'34a-Cap Lease Program Oblg'!G23</f>
        <v>0</v>
      </c>
    </row>
  </sheetData>
  <sheetProtection password="CAF9" sheet="1" objects="1" scenarios="1"/>
  <mergeCells count="1">
    <mergeCell ref="B1:D1"/>
  </mergeCells>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A1" s="855"/>
      <c r="B1" s="855"/>
      <c r="C1" s="855"/>
      <c r="D1" s="855"/>
      <c r="E1" s="855"/>
      <c r="F1" s="855"/>
      <c r="G1" s="855"/>
      <c r="H1" s="855"/>
      <c r="I1" s="855"/>
      <c r="J1" s="855"/>
      <c r="K1" s="855"/>
    </row>
    <row r="2" spans="1:14" ht="20.399999999999999">
      <c r="A2" s="855"/>
      <c r="B2" s="1595" t="s">
        <v>296</v>
      </c>
      <c r="C2" s="1595"/>
      <c r="D2" s="1595"/>
      <c r="E2" s="1595"/>
      <c r="F2" s="1595"/>
      <c r="G2" s="1595"/>
      <c r="H2" s="1595"/>
      <c r="I2" s="1595"/>
      <c r="J2" s="1595"/>
      <c r="K2" s="1595"/>
    </row>
    <row r="3" spans="1:14" ht="21" thickBot="1">
      <c r="A3" s="855"/>
      <c r="B3" s="1595" t="s">
        <v>790</v>
      </c>
      <c r="C3" s="1595"/>
      <c r="D3" s="1595"/>
      <c r="E3" s="1595"/>
      <c r="F3" s="1595"/>
      <c r="G3" s="1595"/>
      <c r="H3" s="1595"/>
      <c r="I3" s="1595"/>
      <c r="J3" s="1595"/>
      <c r="K3" s="1595"/>
    </row>
    <row r="4" spans="1:14" ht="13.8" thickTop="1">
      <c r="A4" s="855"/>
      <c r="B4" s="888"/>
      <c r="C4" s="888"/>
      <c r="D4" s="888"/>
      <c r="E4" s="888"/>
      <c r="F4" s="889"/>
      <c r="G4" s="889">
        <f>'KEY INPUTS'!D34</f>
        <v>2019</v>
      </c>
      <c r="H4" s="889"/>
      <c r="I4" s="890"/>
      <c r="J4" s="888"/>
      <c r="K4" s="865"/>
    </row>
    <row r="5" spans="1:14">
      <c r="A5" s="855"/>
      <c r="B5" s="1596" t="s">
        <v>805</v>
      </c>
      <c r="C5" s="1596"/>
      <c r="D5" s="1596"/>
      <c r="E5" s="1597"/>
      <c r="F5" s="891" t="s">
        <v>672</v>
      </c>
      <c r="G5" s="891" t="s">
        <v>677</v>
      </c>
      <c r="H5" s="891" t="s">
        <v>804</v>
      </c>
      <c r="I5" s="892" t="s">
        <v>280</v>
      </c>
      <c r="J5" s="893" t="s">
        <v>566</v>
      </c>
      <c r="K5" s="866" t="s">
        <v>672</v>
      </c>
    </row>
    <row r="6" spans="1:14">
      <c r="A6" s="855"/>
      <c r="B6" s="855"/>
      <c r="C6" s="855"/>
      <c r="D6" s="855"/>
      <c r="E6" s="855"/>
      <c r="F6" s="894" t="str">
        <f>'10-Grants Receivable'!F6</f>
        <v>Jan. 1, 2019</v>
      </c>
      <c r="G6" s="891" t="s">
        <v>802</v>
      </c>
      <c r="H6" s="891"/>
      <c r="I6" s="895"/>
      <c r="J6" s="896"/>
      <c r="K6" s="867" t="str">
        <f>'10-Grants Receivable'!K6</f>
        <v>Dec. 31, 2019</v>
      </c>
    </row>
    <row r="7" spans="1:14" ht="13.8" thickBot="1">
      <c r="A7" s="855"/>
      <c r="B7" s="897"/>
      <c r="C7" s="897"/>
      <c r="D7" s="897"/>
      <c r="E7" s="897"/>
      <c r="F7" s="898"/>
      <c r="G7" s="899" t="s">
        <v>803</v>
      </c>
      <c r="H7" s="898"/>
      <c r="I7" s="898"/>
      <c r="J7" s="900"/>
      <c r="K7" s="868"/>
    </row>
    <row r="8" spans="1:14" ht="21" customHeight="1" thickTop="1">
      <c r="A8" s="855"/>
      <c r="B8" s="885" t="s">
        <v>3547</v>
      </c>
      <c r="C8" s="885"/>
      <c r="D8" s="885"/>
      <c r="E8" s="901"/>
      <c r="F8" s="902">
        <f>+'10.4-Grants Receivable'!F27</f>
        <v>252825.13999999998</v>
      </c>
      <c r="G8" s="902">
        <f>+'10.4-Grants Receivable'!G27</f>
        <v>1018321.9400000001</v>
      </c>
      <c r="H8" s="902">
        <f>+'10.4-Grants Receivable'!H27</f>
        <v>1019635.3</v>
      </c>
      <c r="I8" s="902">
        <f>+'10.4-Grants Receivable'!I27</f>
        <v>0</v>
      </c>
      <c r="J8" s="902">
        <f>+'10.4-Grants Receivable'!J27</f>
        <v>0</v>
      </c>
      <c r="K8" s="903">
        <f>+'10.4-Grants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3552</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5" t="s">
        <v>805</v>
      </c>
      <c r="C5" s="1545"/>
      <c r="D5" s="1545"/>
      <c r="E5" s="1594"/>
      <c r="F5" s="282" t="s">
        <v>672</v>
      </c>
      <c r="G5" s="282" t="s">
        <v>677</v>
      </c>
      <c r="H5" s="282" t="s">
        <v>804</v>
      </c>
      <c r="I5" s="790" t="s">
        <v>280</v>
      </c>
      <c r="J5" s="255" t="s">
        <v>566</v>
      </c>
      <c r="K5" s="21" t="s">
        <v>672</v>
      </c>
    </row>
    <row r="6" spans="1:14">
      <c r="F6" s="299" t="str">
        <f>'10-Grants Receivable'!F6</f>
        <v>Jan. 1, 2019</v>
      </c>
      <c r="G6" s="282" t="s">
        <v>802</v>
      </c>
      <c r="H6" s="282"/>
      <c r="I6" s="15"/>
      <c r="J6" s="760"/>
      <c r="K6" s="298" t="str">
        <f>'10-Grants Receivable'!K6</f>
        <v>Dec. 31, 2019</v>
      </c>
    </row>
    <row r="7" spans="1:14" ht="13.8" thickBot="1">
      <c r="B7" s="10"/>
      <c r="C7" s="10"/>
      <c r="D7" s="10"/>
      <c r="E7" s="10"/>
      <c r="F7" s="14"/>
      <c r="G7" s="16" t="s">
        <v>803</v>
      </c>
      <c r="H7" s="14"/>
      <c r="I7" s="14"/>
      <c r="J7" s="17"/>
      <c r="K7" s="19"/>
    </row>
    <row r="8" spans="1:14" ht="21" customHeight="1" thickTop="1">
      <c r="B8" s="792" t="s">
        <v>3547</v>
      </c>
      <c r="C8" s="792"/>
      <c r="D8" s="792"/>
      <c r="E8" s="793"/>
      <c r="F8" s="775">
        <f>+'10.5-Grants Receivable'!F27</f>
        <v>252825.13999999998</v>
      </c>
      <c r="G8" s="775">
        <f>+'10.5-Grants Receivable'!G27</f>
        <v>1018321.9400000001</v>
      </c>
      <c r="H8" s="775">
        <f>+'10.5-Grants Receivable'!H27</f>
        <v>1019635.3</v>
      </c>
      <c r="I8" s="775">
        <f>+'10.5-Grants Receivable'!I27</f>
        <v>0</v>
      </c>
      <c r="J8" s="775">
        <f>+'10.5-Grants Receivable'!J27</f>
        <v>0</v>
      </c>
      <c r="K8" s="903">
        <f>+'10.5-Grants Receivable'!K27</f>
        <v>251511.78</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76" t="s">
        <v>3553</v>
      </c>
      <c r="B15" s="566"/>
      <c r="C15" s="567"/>
      <c r="D15" s="566"/>
      <c r="E15" s="572"/>
      <c r="F15" s="374"/>
      <c r="G15" s="374"/>
      <c r="H15" s="374"/>
      <c r="I15" s="374"/>
      <c r="J15" s="374"/>
      <c r="K15" s="574">
        <f t="shared" si="0"/>
        <v>0</v>
      </c>
    </row>
    <row r="16" spans="1:14" ht="21" customHeight="1">
      <c r="A16" s="1576"/>
      <c r="B16" s="566"/>
      <c r="C16" s="567"/>
      <c r="D16" s="566"/>
      <c r="E16" s="572"/>
      <c r="F16" s="374"/>
      <c r="G16" s="374"/>
      <c r="H16" s="374"/>
      <c r="I16" s="374"/>
      <c r="J16" s="374"/>
      <c r="K16" s="574">
        <f t="shared" si="0"/>
        <v>0</v>
      </c>
    </row>
    <row r="17" spans="1:12" ht="21" customHeight="1">
      <c r="A17" s="1576"/>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136">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+'10.6-Grants Receivable'!F27</f>
        <v>252825.13999999998</v>
      </c>
      <c r="G8" s="902">
        <f>+'10.6-Grants Receivable'!G27</f>
        <v>1018321.9400000001</v>
      </c>
      <c r="H8" s="902">
        <f>+'10.6-Grants Receivable'!H27</f>
        <v>1019635.3</v>
      </c>
      <c r="I8" s="902">
        <f>+'10.6-Grants Receivable'!I27</f>
        <v>0</v>
      </c>
      <c r="J8" s="902">
        <f>+'10.6-Grants Receivable'!J27</f>
        <v>0</v>
      </c>
      <c r="K8" s="903">
        <f>+'10.6-Grants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3554</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+'10.7-Grants Receivable'!F27</f>
        <v>252825.13999999998</v>
      </c>
      <c r="G8" s="902">
        <f>+'10.7-Grants Receivable'!G27</f>
        <v>1018321.9400000001</v>
      </c>
      <c r="H8" s="902">
        <f>+'10.7-Grants Receivable'!H27</f>
        <v>1019635.3</v>
      </c>
      <c r="I8" s="902">
        <f>+'10.7-Grants Receivable'!I27</f>
        <v>0</v>
      </c>
      <c r="J8" s="902">
        <f>+'10.7-Grants Receivable'!J27</f>
        <v>0</v>
      </c>
      <c r="K8" s="903">
        <f>+'10.7-Grants Receivable'!K27</f>
        <v>251511.78</v>
      </c>
    </row>
    <row r="9" spans="1:14" ht="21" customHeight="1">
      <c r="B9" s="566"/>
      <c r="C9" s="566"/>
      <c r="D9" s="566"/>
      <c r="E9" s="572"/>
      <c r="F9" s="374"/>
      <c r="G9" s="374"/>
      <c r="H9" s="374"/>
      <c r="I9" s="374"/>
      <c r="J9" s="374"/>
      <c r="K9" s="846">
        <f>+F9+G9-H9+I9-J9</f>
        <v>0</v>
      </c>
      <c r="L9" s="325"/>
    </row>
    <row r="10" spans="1:14" ht="21" customHeight="1">
      <c r="B10" s="566"/>
      <c r="C10" s="566"/>
      <c r="D10" s="566"/>
      <c r="E10" s="572"/>
      <c r="F10" s="374"/>
      <c r="G10" s="374"/>
      <c r="H10" s="374"/>
      <c r="I10" s="374"/>
      <c r="J10" s="374"/>
      <c r="K10" s="846">
        <f t="shared" ref="K10:K26" si="0">+F10+G10-H10+I10-J10</f>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3556</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+'10.8-Grants Receivable'!F27</f>
        <v>252825.13999999998</v>
      </c>
      <c r="G8" s="902">
        <f>+'10.8-Grants Receivable'!G27</f>
        <v>1018321.9400000001</v>
      </c>
      <c r="H8" s="902">
        <f>+'10.8-Grants Receivable'!H27</f>
        <v>1019635.3</v>
      </c>
      <c r="I8" s="902">
        <f>+'10.8-Grants Receivable'!I27</f>
        <v>0</v>
      </c>
      <c r="J8" s="902">
        <f>+'10.8-Grants Receivable'!J27</f>
        <v>0</v>
      </c>
      <c r="K8" s="903">
        <f>+'10.8-Grants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3555</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5" t="s">
        <v>805</v>
      </c>
      <c r="C5" s="1545"/>
      <c r="D5" s="1545"/>
      <c r="E5" s="1594"/>
      <c r="F5" s="282" t="s">
        <v>672</v>
      </c>
      <c r="G5" s="282" t="s">
        <v>677</v>
      </c>
      <c r="H5" s="282" t="s">
        <v>804</v>
      </c>
      <c r="I5" s="790" t="s">
        <v>280</v>
      </c>
      <c r="J5" s="255" t="s">
        <v>566</v>
      </c>
      <c r="K5" s="21" t="s">
        <v>672</v>
      </c>
    </row>
    <row r="6" spans="1:14">
      <c r="F6" s="299" t="str">
        <f>'10-Grants Receivable'!F6</f>
        <v>Jan. 1, 2019</v>
      </c>
      <c r="G6" s="282" t="s">
        <v>802</v>
      </c>
      <c r="H6" s="282"/>
      <c r="I6" s="15"/>
      <c r="J6" s="760"/>
      <c r="K6" s="298" t="str">
        <f>'10-Grants Receivable'!K6</f>
        <v>Dec. 31, 2019</v>
      </c>
    </row>
    <row r="7" spans="1:14" ht="13.8" thickBot="1">
      <c r="B7" s="10"/>
      <c r="C7" s="10"/>
      <c r="D7" s="10"/>
      <c r="E7" s="10"/>
      <c r="F7" s="14"/>
      <c r="G7" s="16" t="s">
        <v>803</v>
      </c>
      <c r="H7" s="14"/>
      <c r="I7" s="14"/>
      <c r="J7" s="17"/>
      <c r="K7" s="19"/>
    </row>
    <row r="8" spans="1:14" ht="21" customHeight="1" thickTop="1">
      <c r="B8" s="792" t="s">
        <v>3547</v>
      </c>
      <c r="C8" s="792"/>
      <c r="D8" s="792"/>
      <c r="E8" s="793"/>
      <c r="F8" s="775">
        <f>+'10.9-Grants Receivable'!F27</f>
        <v>252825.13999999998</v>
      </c>
      <c r="G8" s="775">
        <f>+'10.9-Grants Receivable'!G27</f>
        <v>1018321.9400000001</v>
      </c>
      <c r="H8" s="775">
        <f>+'10.9-Grants Receivable'!H27</f>
        <v>1019635.3</v>
      </c>
      <c r="I8" s="775">
        <f>+'10.9-Grants Receivable'!I27</f>
        <v>0</v>
      </c>
      <c r="J8" s="775">
        <f>+'10.9-Grants Receivable'!J27</f>
        <v>0</v>
      </c>
      <c r="K8" s="791">
        <f>+'10.9-Grants Receivable'!K27</f>
        <v>251511.78</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576" t="s">
        <v>3557</v>
      </c>
      <c r="B15" s="566"/>
      <c r="C15" s="567"/>
      <c r="D15" s="566"/>
      <c r="E15" s="572"/>
      <c r="F15" s="374"/>
      <c r="G15" s="374"/>
      <c r="H15" s="374"/>
      <c r="I15" s="374"/>
      <c r="J15" s="374"/>
      <c r="K15" s="574">
        <f t="shared" si="0"/>
        <v>0</v>
      </c>
    </row>
    <row r="16" spans="1:14" ht="21" customHeight="1">
      <c r="A16" s="1576"/>
      <c r="B16" s="566"/>
      <c r="C16" s="567"/>
      <c r="D16" s="566"/>
      <c r="E16" s="572"/>
      <c r="F16" s="374"/>
      <c r="G16" s="374"/>
      <c r="H16" s="374"/>
      <c r="I16" s="374"/>
      <c r="J16" s="374"/>
      <c r="K16" s="574">
        <f t="shared" si="0"/>
        <v>0</v>
      </c>
    </row>
    <row r="17" spans="1:12" ht="21" customHeight="1">
      <c r="A17" s="1576"/>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136">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792" t="s">
        <v>3547</v>
      </c>
      <c r="C8" s="792"/>
      <c r="D8" s="792"/>
      <c r="E8" s="793"/>
      <c r="F8" s="775">
        <f>+'10.10-Grants Receivable'!F27</f>
        <v>252825.13999999998</v>
      </c>
      <c r="G8" s="775">
        <f>+'10.10-Grants Receivable'!G27</f>
        <v>1018321.9400000001</v>
      </c>
      <c r="H8" s="775">
        <f>+'10.10-Grants Receivable'!H27</f>
        <v>1019635.3</v>
      </c>
      <c r="I8" s="775">
        <f>+'10.10-Grants Receivable'!I27</f>
        <v>0</v>
      </c>
      <c r="J8" s="775">
        <f>+'10.10-Grants Receivable'!J27</f>
        <v>0</v>
      </c>
      <c r="K8" s="903">
        <f>+'10.10-Grants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3558</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792" t="s">
        <v>3547</v>
      </c>
      <c r="C8" s="792"/>
      <c r="D8" s="792"/>
      <c r="E8" s="793"/>
      <c r="F8" s="775">
        <f>'10.11-Grants Receivable'!F27</f>
        <v>252825.13999999998</v>
      </c>
      <c r="G8" s="775">
        <f>+'10.11-Grants Receivable'!G27</f>
        <v>1018321.9400000001</v>
      </c>
      <c r="H8" s="775">
        <f>+'10.11-Grants Receivable'!H27</f>
        <v>1019635.3</v>
      </c>
      <c r="I8" s="775">
        <f>+'10.11-Grants Receivable'!I27</f>
        <v>0</v>
      </c>
      <c r="J8" s="775">
        <f>+'10.11-Grants Receivable'!J27</f>
        <v>0</v>
      </c>
      <c r="K8" s="903">
        <f>+'10.11-Grants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3559</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18"/>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999"/>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+'10.12-Grants Receivable'!F27</f>
        <v>252825.13999999998</v>
      </c>
      <c r="G8" s="902">
        <f>+'10.12-Grants Receivable'!G27</f>
        <v>1018321.9400000001</v>
      </c>
      <c r="H8" s="902">
        <f>+'10.12-Grants Receivable'!H27</f>
        <v>1019635.3</v>
      </c>
      <c r="I8" s="902">
        <f>+'10.12-Grants Receivable'!I27</f>
        <v>0</v>
      </c>
      <c r="J8" s="902">
        <f>+'10.12-Grants Receivable'!J27</f>
        <v>0</v>
      </c>
      <c r="K8" s="903">
        <f>+'10.12-Grants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3560</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+'10.13-Grants Receivable'!F27</f>
        <v>252825.13999999998</v>
      </c>
      <c r="G8" s="902">
        <f>+'10.13-Grants Receivable'!G27</f>
        <v>1018321.9400000001</v>
      </c>
      <c r="H8" s="902">
        <f>+'10.13-Grants Receivable'!H27</f>
        <v>1019635.3</v>
      </c>
      <c r="I8" s="902">
        <f>+'10.13-Grants Receivable'!I27</f>
        <v>0</v>
      </c>
      <c r="J8" s="902">
        <f>+'10.13-Grants Receivable'!J27</f>
        <v>0</v>
      </c>
      <c r="K8" s="903">
        <f>+'10.13-Grants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3561</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Y63"/>
  <sheetViews>
    <sheetView topLeftCell="B10" zoomScaleNormal="100" zoomScaleSheetLayoutView="80" workbookViewId="0">
      <selection activeCell="K6" sqref="K6:L6"/>
    </sheetView>
  </sheetViews>
  <sheetFormatPr defaultRowHeight="13.2"/>
  <cols>
    <col min="1" max="4" width="4.6640625" customWidth="1"/>
    <col min="5" max="5" width="7.88671875" customWidth="1"/>
    <col min="6" max="6" width="8.5546875" customWidth="1"/>
    <col min="7" max="7" width="5.6640625" customWidth="1"/>
    <col min="8" max="9" width="4.6640625" customWidth="1"/>
    <col min="11" max="11" width="11.33203125" customWidth="1"/>
    <col min="12" max="12" width="10" customWidth="1"/>
    <col min="13" max="13" width="8.33203125" customWidth="1"/>
    <col min="14" max="14" width="7.44140625" customWidth="1"/>
    <col min="15" max="15" width="5.109375" customWidth="1"/>
    <col min="16" max="16" width="11" bestFit="1" customWidth="1"/>
    <col min="18" max="18" width="12.33203125" hidden="1" customWidth="1"/>
    <col min="25" max="25" width="0" hidden="1" customWidth="1"/>
  </cols>
  <sheetData>
    <row r="2" spans="2:19" ht="20.399999999999999">
      <c r="B2" s="1508" t="str">
        <f>"ANNUAL  FINANCIAL  STATEMENT  FOR  THE  YEAR  "&amp;TEXT('KEY INPUTS'!D34,"0")</f>
        <v>ANNUAL  FINANCIAL  STATEMENT  FOR  THE  YEAR  2019</v>
      </c>
      <c r="C2" s="1508"/>
      <c r="D2" s="1508"/>
      <c r="E2" s="1508"/>
      <c r="F2" s="1508"/>
      <c r="G2" s="1508"/>
      <c r="H2" s="1508"/>
      <c r="I2" s="1508"/>
      <c r="J2" s="1508"/>
      <c r="K2" s="1508"/>
      <c r="L2" s="1508"/>
      <c r="M2" s="1508"/>
      <c r="N2" s="1508"/>
      <c r="O2" s="1508"/>
    </row>
    <row r="3" spans="2:19" ht="20.399999999999999">
      <c r="B3" s="1508" t="s">
        <v>931</v>
      </c>
      <c r="C3" s="1508"/>
      <c r="D3" s="1508"/>
      <c r="E3" s="1508"/>
      <c r="F3" s="1508"/>
      <c r="G3" s="1508"/>
      <c r="H3" s="1508"/>
      <c r="I3" s="1508"/>
      <c r="J3" s="1508"/>
      <c r="K3" s="1508"/>
      <c r="L3" s="1508"/>
      <c r="M3" s="1508"/>
      <c r="N3" s="1508"/>
      <c r="O3" s="1508"/>
    </row>
    <row r="5" spans="2:19">
      <c r="J5" s="38" t="s">
        <v>932</v>
      </c>
      <c r="K5" s="1515">
        <f>'KEY INPUTS'!D37</f>
        <v>42704</v>
      </c>
      <c r="L5" s="1516"/>
    </row>
    <row r="6" spans="2:19">
      <c r="J6" s="38" t="str">
        <f>'KEY INPUTS'!C38</f>
        <v>NET  VALUATION  TAXABLE  2019</v>
      </c>
      <c r="K6" s="1519">
        <f>'KEY INPUTS'!D38</f>
        <v>2296155648</v>
      </c>
      <c r="L6" s="1519"/>
      <c r="M6" s="279"/>
      <c r="P6" s="252"/>
      <c r="R6" s="252"/>
      <c r="S6" s="252"/>
    </row>
    <row r="7" spans="2:19">
      <c r="J7" s="38" t="s">
        <v>95</v>
      </c>
      <c r="K7" s="1517" t="str">
        <f>'KEY INPUTS'!D39</f>
        <v>1219</v>
      </c>
      <c r="L7" s="1518"/>
    </row>
    <row r="8" spans="2:19">
      <c r="B8" s="1511" t="s">
        <v>933</v>
      </c>
      <c r="C8" s="1511"/>
      <c r="D8" s="1511"/>
      <c r="E8" s="1511"/>
      <c r="F8" s="1511"/>
      <c r="G8" s="1511"/>
      <c r="H8" s="1511"/>
      <c r="I8" s="1511"/>
      <c r="J8" s="1511"/>
      <c r="K8" s="1511"/>
      <c r="L8" s="1511"/>
      <c r="M8" s="1511"/>
      <c r="N8" s="1511"/>
      <c r="O8" s="1511"/>
    </row>
    <row r="9" spans="2:19">
      <c r="B9" s="1514" t="str">
        <f>'KEY INPUTS'!D42</f>
        <v>COUNTIES  - JANUARY  26, 2020</v>
      </c>
      <c r="C9" s="1511"/>
      <c r="D9" s="1511"/>
      <c r="E9" s="1511"/>
      <c r="F9" s="1511"/>
      <c r="G9" s="1511"/>
      <c r="H9" s="1511"/>
      <c r="I9" s="1511"/>
      <c r="J9" s="1511"/>
      <c r="K9" s="1511"/>
      <c r="L9" s="1511"/>
      <c r="M9" s="1511"/>
      <c r="N9" s="1511"/>
      <c r="O9" s="1511"/>
    </row>
    <row r="10" spans="2:19">
      <c r="B10" s="1514" t="str">
        <f>'KEY INPUTS'!D43</f>
        <v>MUNICIPALITIES  - FEBRUARY 10, 2020</v>
      </c>
      <c r="C10" s="1511"/>
      <c r="D10" s="1511"/>
      <c r="E10" s="1511"/>
      <c r="F10" s="1511"/>
      <c r="G10" s="1511"/>
      <c r="H10" s="1511"/>
      <c r="I10" s="1511"/>
      <c r="J10" s="1511"/>
      <c r="K10" s="1511"/>
      <c r="L10" s="1511"/>
      <c r="M10" s="1511"/>
      <c r="N10" s="1511"/>
      <c r="O10" s="1511"/>
    </row>
    <row r="12" spans="2:19" ht="13.8">
      <c r="B12" s="92" t="s">
        <v>934</v>
      </c>
    </row>
    <row r="13" spans="2:19" ht="13.8">
      <c r="B13" s="92" t="s">
        <v>935</v>
      </c>
    </row>
    <row r="14" spans="2:19" ht="13.8">
      <c r="B14" s="92" t="s">
        <v>936</v>
      </c>
    </row>
    <row r="15" spans="2:19" ht="13.8">
      <c r="B15" s="92" t="s">
        <v>937</v>
      </c>
    </row>
    <row r="17" spans="2:15">
      <c r="B17" s="1520" t="str">
        <f>+'KEY INPUTS'!D12</f>
        <v>BOROUGH</v>
      </c>
      <c r="C17" s="1520"/>
      <c r="D17" s="1520"/>
      <c r="E17" s="1520"/>
      <c r="F17" s="1520"/>
      <c r="G17" s="1" t="s">
        <v>683</v>
      </c>
      <c r="H17" s="1520" t="str">
        <f>+'KEY INPUTS'!D11</f>
        <v>SAYREVILLE</v>
      </c>
      <c r="I17" s="1520"/>
      <c r="J17" s="1520"/>
      <c r="K17" s="1520"/>
      <c r="L17" t="s">
        <v>938</v>
      </c>
      <c r="M17" s="1520" t="str">
        <f>+'KEY INPUTS'!D10</f>
        <v>MIDDLESEX</v>
      </c>
      <c r="N17" s="1520"/>
      <c r="O17" s="1520"/>
    </row>
    <row r="19" spans="2:15">
      <c r="B19" s="1513" t="s">
        <v>939</v>
      </c>
      <c r="C19" s="1513"/>
      <c r="D19" s="1513"/>
      <c r="E19" s="1513"/>
      <c r="F19" s="1513"/>
      <c r="G19" s="1513"/>
      <c r="H19" s="1513"/>
      <c r="I19" s="1513"/>
      <c r="J19" s="1513"/>
      <c r="K19" s="1513"/>
      <c r="L19" s="1513"/>
      <c r="M19" s="1513"/>
      <c r="N19" s="1513"/>
      <c r="O19" s="1513"/>
    </row>
    <row r="20" spans="2:15">
      <c r="B20" s="1513" t="s">
        <v>940</v>
      </c>
      <c r="C20" s="1513"/>
      <c r="D20" s="1513"/>
      <c r="E20" s="1513"/>
      <c r="F20" s="1513"/>
      <c r="G20" s="1513"/>
      <c r="H20" s="1513"/>
      <c r="I20" s="1513"/>
      <c r="J20" s="1513"/>
      <c r="K20" s="1513"/>
      <c r="L20" s="1513"/>
      <c r="M20" s="1513"/>
      <c r="N20" s="1513"/>
      <c r="O20" s="1513"/>
    </row>
    <row r="22" spans="2:15" ht="24.9" customHeight="1">
      <c r="E22" s="187"/>
      <c r="F22" s="189" t="s">
        <v>18</v>
      </c>
      <c r="G22" s="1522" t="s">
        <v>943</v>
      </c>
      <c r="H22" s="1522"/>
      <c r="I22" s="1522"/>
      <c r="J22" s="1522"/>
      <c r="K22" s="1522"/>
      <c r="L22" s="1522"/>
      <c r="M22" s="1522"/>
    </row>
    <row r="23" spans="2:15" ht="24.9" customHeight="1">
      <c r="E23" s="188" t="s">
        <v>941</v>
      </c>
      <c r="F23" s="828"/>
      <c r="G23" s="1524"/>
      <c r="H23" s="1525"/>
      <c r="I23" s="1525"/>
      <c r="J23" s="1525"/>
      <c r="K23" s="1522" t="s">
        <v>944</v>
      </c>
      <c r="L23" s="1522"/>
      <c r="M23" s="1522"/>
    </row>
    <row r="24" spans="2:15" ht="24.9" customHeight="1">
      <c r="E24" s="188" t="s">
        <v>942</v>
      </c>
      <c r="F24" s="828"/>
      <c r="G24" s="1524"/>
      <c r="H24" s="1525"/>
      <c r="I24" s="1525"/>
      <c r="J24" s="1525"/>
      <c r="K24" s="1522" t="s">
        <v>945</v>
      </c>
      <c r="L24" s="1522"/>
      <c r="M24" s="1522"/>
    </row>
    <row r="26" spans="2:15">
      <c r="B26" s="190" t="s">
        <v>1158</v>
      </c>
    </row>
    <row r="27" spans="2:15">
      <c r="B27" s="190" t="s">
        <v>1159</v>
      </c>
    </row>
    <row r="28" spans="2:15">
      <c r="B28" s="190" t="s">
        <v>1160</v>
      </c>
    </row>
    <row r="29" spans="2:15" ht="20.100000000000001" customHeight="1">
      <c r="K29" s="38" t="s">
        <v>946</v>
      </c>
      <c r="L29" s="1526"/>
      <c r="M29" s="1527"/>
      <c r="N29" s="1527"/>
    </row>
    <row r="30" spans="2:15" ht="20.100000000000001" customHeight="1">
      <c r="K30" s="38" t="s">
        <v>405</v>
      </c>
      <c r="L30" s="1528"/>
      <c r="M30" s="1529"/>
      <c r="N30" s="1529"/>
    </row>
    <row r="32" spans="2:15">
      <c r="B32" s="242" t="s">
        <v>947</v>
      </c>
    </row>
    <row r="35" spans="2:25" ht="13.8">
      <c r="B35" s="92" t="s">
        <v>948</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485</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11" t="s">
        <v>3638</v>
      </c>
    </row>
    <row r="40" spans="2:25">
      <c r="B40" s="100" t="s">
        <v>542</v>
      </c>
      <c r="C40" s="34"/>
      <c r="D40" s="34"/>
      <c r="E40" s="34"/>
      <c r="F40" s="34"/>
      <c r="G40" s="34"/>
      <c r="H40" s="34"/>
      <c r="I40" s="34"/>
      <c r="J40" s="34"/>
      <c r="K40" s="34"/>
      <c r="L40" s="34"/>
      <c r="M40" s="34"/>
      <c r="N40" s="34"/>
      <c r="O40" s="34"/>
      <c r="Q40" s="322"/>
    </row>
    <row r="41" spans="2:25">
      <c r="B41" s="100" t="s">
        <v>420</v>
      </c>
      <c r="C41" s="34"/>
      <c r="D41" s="34"/>
      <c r="E41" s="34"/>
      <c r="F41" s="34"/>
      <c r="G41" s="34"/>
      <c r="H41" s="34"/>
      <c r="I41" s="34"/>
      <c r="J41" s="34"/>
      <c r="K41" s="34"/>
      <c r="L41" s="34"/>
      <c r="M41" s="34"/>
      <c r="N41" s="34"/>
      <c r="O41" s="34"/>
      <c r="Q41" s="118" t="s">
        <v>3669</v>
      </c>
    </row>
    <row r="42" spans="2:25">
      <c r="B42" s="100" t="s">
        <v>1081</v>
      </c>
      <c r="C42" s="34"/>
      <c r="D42" s="34"/>
      <c r="E42" s="34"/>
      <c r="F42" s="34"/>
      <c r="G42" s="34"/>
      <c r="H42" s="34"/>
      <c r="I42" s="34"/>
      <c r="J42" s="34"/>
      <c r="K42" s="34"/>
      <c r="L42" s="34"/>
      <c r="M42" s="34"/>
      <c r="N42" s="34"/>
      <c r="O42" s="34"/>
      <c r="Q42" s="829"/>
    </row>
    <row r="43" spans="2:25">
      <c r="B43" s="100" t="s">
        <v>469</v>
      </c>
      <c r="C43" s="34"/>
      <c r="D43" s="34"/>
      <c r="E43" s="34"/>
      <c r="F43" s="34"/>
      <c r="G43" s="34"/>
      <c r="H43" s="34"/>
      <c r="I43" s="34"/>
      <c r="J43" s="34"/>
      <c r="K43" s="34"/>
      <c r="L43" s="34"/>
      <c r="M43" s="34"/>
      <c r="N43" s="34"/>
      <c r="O43" s="34"/>
      <c r="Y43" s="324" t="s">
        <v>3670</v>
      </c>
    </row>
    <row r="44" spans="2:25">
      <c r="Y44" s="324" t="s">
        <v>3671</v>
      </c>
    </row>
    <row r="45" spans="2:25">
      <c r="B45" s="100" t="s">
        <v>591</v>
      </c>
      <c r="G45" s="1520" t="str">
        <f>IF('KEY INPUTS'!D21=0,"NO ENTRY",'KEY INPUTS'!D21)</f>
        <v>NO ENTRY</v>
      </c>
      <c r="H45" s="1520"/>
      <c r="I45" s="1520"/>
      <c r="J45" s="1520"/>
      <c r="K45" s="1520"/>
      <c r="L45" s="1520"/>
      <c r="M45" s="100" t="s">
        <v>23</v>
      </c>
      <c r="Y45" s="324" t="s">
        <v>3672</v>
      </c>
    </row>
    <row r="46" spans="2:25">
      <c r="B46" s="100" t="s">
        <v>949</v>
      </c>
      <c r="E46" s="1520" t="str">
        <f>IF('KEY INPUTS'!E21=0,"NO ENTRY",'KEY INPUTS'!E21)</f>
        <v>NO ENTRY</v>
      </c>
      <c r="F46" s="1520"/>
      <c r="G46" s="100" t="s">
        <v>24</v>
      </c>
      <c r="H46" s="1520" t="str">
        <f>+'KEY INPUTS'!D12</f>
        <v>BOROUGH</v>
      </c>
      <c r="I46" s="1520"/>
      <c r="J46" s="1520"/>
      <c r="K46" s="1520"/>
      <c r="L46" s="1520"/>
      <c r="M46" s="1520"/>
      <c r="N46" s="100" t="s">
        <v>683</v>
      </c>
    </row>
    <row r="47" spans="2:25">
      <c r="B47" s="1523" t="str">
        <f>+'KEY INPUTS'!D11</f>
        <v>SAYREVILLE</v>
      </c>
      <c r="C47" s="1523"/>
      <c r="D47" s="1523"/>
      <c r="E47" s="1523"/>
      <c r="F47" s="1523"/>
      <c r="G47" s="100" t="s">
        <v>590</v>
      </c>
      <c r="I47" s="1520" t="str">
        <f>+'KEY INPUTS'!D10</f>
        <v>MIDDLESEX</v>
      </c>
      <c r="J47" s="1520"/>
      <c r="K47" s="1520"/>
      <c r="L47" s="1520"/>
      <c r="M47" s="1520"/>
      <c r="N47" s="100" t="s">
        <v>589</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946</v>
      </c>
      <c r="F53" s="1521"/>
      <c r="G53" s="1521"/>
      <c r="H53" s="1521"/>
      <c r="I53" s="1521"/>
      <c r="J53" s="1521"/>
      <c r="K53" s="1521"/>
      <c r="L53" s="1521"/>
    </row>
    <row r="54" spans="2:15" ht="20.100000000000001" customHeight="1">
      <c r="D54" t="s">
        <v>405</v>
      </c>
      <c r="F54" s="1521"/>
      <c r="G54" s="1521"/>
      <c r="H54" s="1521"/>
      <c r="I54" s="1521"/>
      <c r="J54" s="1521"/>
      <c r="K54" s="1521"/>
      <c r="L54" s="1521"/>
    </row>
    <row r="55" spans="2:15" ht="20.100000000000001" customHeight="1">
      <c r="D55" t="s">
        <v>62</v>
      </c>
      <c r="F55" s="1530" t="str">
        <f>IF('KEY INPUTS'!D16=0,"NO ENTRY",'KEY INPUTS'!D16)</f>
        <v>NO ENTRY</v>
      </c>
      <c r="G55" s="1530"/>
      <c r="H55" s="1530"/>
      <c r="I55" s="1530"/>
      <c r="J55" s="1530"/>
      <c r="K55" s="1530"/>
      <c r="L55" s="1530"/>
    </row>
    <row r="56" spans="2:15" ht="20.100000000000001" customHeight="1">
      <c r="D56" t="s">
        <v>63</v>
      </c>
      <c r="G56" s="5"/>
      <c r="H56" s="1531" t="str">
        <f>IF('KEY INPUTS'!D18=0,"NO ENTRY",'KEY INPUTS'!D18)</f>
        <v>NO ENTRY</v>
      </c>
      <c r="I56" s="1531"/>
      <c r="J56" s="1531"/>
      <c r="K56" s="5"/>
      <c r="L56" s="5"/>
    </row>
    <row r="57" spans="2:15" ht="20.100000000000001" customHeight="1">
      <c r="D57" t="s">
        <v>97</v>
      </c>
      <c r="G57" s="5"/>
      <c r="H57" s="1531" t="str">
        <f>IF('KEY INPUTS'!D19=0,"NO ENTRY",'KEY INPUTS'!D19)</f>
        <v>NO ENTRY</v>
      </c>
      <c r="I57" s="1531"/>
      <c r="J57" s="1531"/>
      <c r="K57" s="5"/>
      <c r="L57" s="5"/>
    </row>
    <row r="59" spans="2:15">
      <c r="D59" t="s">
        <v>586</v>
      </c>
    </row>
    <row r="60" spans="2:15">
      <c r="D60" t="s">
        <v>65</v>
      </c>
    </row>
    <row r="61" spans="2:15">
      <c r="D61" t="s">
        <v>587</v>
      </c>
    </row>
    <row r="62" spans="2:15">
      <c r="D62" t="s">
        <v>588</v>
      </c>
    </row>
    <row r="63" spans="2:15" ht="13.8">
      <c r="B63" s="1507" t="s">
        <v>64</v>
      </c>
      <c r="C63" s="1507"/>
      <c r="D63" s="1507"/>
      <c r="E63" s="1507"/>
      <c r="F63" s="1507"/>
      <c r="G63" s="1507"/>
      <c r="H63" s="1507"/>
      <c r="I63" s="1507"/>
      <c r="J63" s="1507"/>
      <c r="K63" s="1507"/>
      <c r="L63" s="1507"/>
      <c r="M63" s="1507"/>
      <c r="N63" s="1507"/>
      <c r="O63" s="1507"/>
    </row>
  </sheetData>
  <sheetProtection password="CAF9"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+'10.14-Grants Receivable'!F27</f>
        <v>252825.13999999998</v>
      </c>
      <c r="G8" s="902">
        <f>+'10.14-Grants Receivable'!G27</f>
        <v>1018321.9400000001</v>
      </c>
      <c r="H8" s="902">
        <f>+'10.14-Grants Receivable'!H27</f>
        <v>1019635.3</v>
      </c>
      <c r="I8" s="902">
        <f>+'10.14-Grants Receivable'!I27</f>
        <v>0</v>
      </c>
      <c r="J8" s="902">
        <f>+'10.14-Grants Receivable'!J27</f>
        <v>0</v>
      </c>
      <c r="K8" s="903">
        <f>+'10.14-Grants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3562</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+'10.15-Grants Receivable'!F27</f>
        <v>252825.13999999998</v>
      </c>
      <c r="G8" s="902">
        <f>+'10.15-Grants Receivable'!G27</f>
        <v>1018321.9400000001</v>
      </c>
      <c r="H8" s="902">
        <f>+'10.15-Grants Receivable'!H27</f>
        <v>1019635.3</v>
      </c>
      <c r="I8" s="902">
        <f>+'10.15-Grants Receivable'!I27</f>
        <v>0</v>
      </c>
      <c r="J8" s="902">
        <f>+'10.15-Grants Receivable'!J27</f>
        <v>0</v>
      </c>
      <c r="K8" s="903">
        <f>+'10.15-Grants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98" t="s">
        <v>3563</v>
      </c>
      <c r="B15" s="566"/>
      <c r="C15" s="567"/>
      <c r="D15" s="566"/>
      <c r="E15" s="572"/>
      <c r="F15" s="374"/>
      <c r="G15" s="374"/>
      <c r="H15" s="374"/>
      <c r="I15" s="374"/>
      <c r="J15" s="374"/>
      <c r="K15" s="846">
        <f t="shared" si="0"/>
        <v>0</v>
      </c>
    </row>
    <row r="16" spans="1:14" ht="21" customHeight="1">
      <c r="A16" s="1598"/>
      <c r="B16" s="566"/>
      <c r="C16" s="567"/>
      <c r="D16" s="566"/>
      <c r="E16" s="572"/>
      <c r="F16" s="374"/>
      <c r="G16" s="374"/>
      <c r="H16" s="374"/>
      <c r="I16" s="374"/>
      <c r="J16" s="374"/>
      <c r="K16" s="846">
        <f t="shared" si="0"/>
        <v>0</v>
      </c>
    </row>
    <row r="17" spans="1:12" ht="21" customHeight="1">
      <c r="A17" s="1598"/>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+'10.16-Grants Receivable'!F27</f>
        <v>252825.13999999998</v>
      </c>
      <c r="G8" s="902">
        <f>+'10.16-Grants Receivable'!G27</f>
        <v>1018321.9400000001</v>
      </c>
      <c r="H8" s="902">
        <f>+'10.16-Grants Receivable'!H27</f>
        <v>1019635.3</v>
      </c>
      <c r="I8" s="902">
        <f>+'10.16-Grants Receivable'!I27</f>
        <v>0</v>
      </c>
      <c r="J8" s="902">
        <f>+'10.16-Grants Receivable'!J27</f>
        <v>0</v>
      </c>
      <c r="K8" s="903">
        <f>+'10.16-Grants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3564</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+'10.17-Grants Receivable'!F27</f>
        <v>252825.13999999998</v>
      </c>
      <c r="G8" s="902">
        <f>+'10.17-Grants Receivable'!G27</f>
        <v>1018321.9400000001</v>
      </c>
      <c r="H8" s="902">
        <f>+'10.17-Grants Receivable'!H27</f>
        <v>1019635.3</v>
      </c>
      <c r="I8" s="902">
        <f>+'10.17-Grants Receivable'!I27</f>
        <v>0</v>
      </c>
      <c r="J8" s="902">
        <f>+'10.17-Grants Receivable'!J27</f>
        <v>0</v>
      </c>
      <c r="K8" s="903">
        <f>+'10.17-Grants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3566</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08" t="s">
        <v>790</v>
      </c>
      <c r="C3" s="1508"/>
      <c r="D3" s="1508"/>
      <c r="E3" s="1508"/>
      <c r="F3" s="1508"/>
      <c r="G3" s="1508"/>
      <c r="H3" s="1508"/>
      <c r="I3" s="1508"/>
      <c r="J3" s="1508"/>
      <c r="K3" s="1508"/>
    </row>
    <row r="4" spans="1:14" ht="13.8" thickTop="1">
      <c r="B4" s="11"/>
      <c r="C4" s="11"/>
      <c r="D4" s="11"/>
      <c r="E4" s="11"/>
      <c r="F4" s="12"/>
      <c r="G4" s="12">
        <f>'KEY INPUTS'!D34</f>
        <v>2019</v>
      </c>
      <c r="H4" s="12"/>
      <c r="I4" s="6"/>
      <c r="J4" s="11"/>
      <c r="K4" s="865"/>
    </row>
    <row r="5" spans="1:14">
      <c r="B5" s="1545" t="s">
        <v>805</v>
      </c>
      <c r="C5" s="1545"/>
      <c r="D5" s="1545"/>
      <c r="E5" s="1594"/>
      <c r="F5" s="282" t="s">
        <v>672</v>
      </c>
      <c r="G5" s="282" t="s">
        <v>677</v>
      </c>
      <c r="H5" s="282" t="s">
        <v>804</v>
      </c>
      <c r="I5" s="790" t="s">
        <v>280</v>
      </c>
      <c r="J5" s="255" t="s">
        <v>566</v>
      </c>
      <c r="K5" s="866" t="s">
        <v>672</v>
      </c>
    </row>
    <row r="6" spans="1:14">
      <c r="F6" s="299" t="str">
        <f>'10-Grants Receivable'!F6</f>
        <v>Jan. 1, 2019</v>
      </c>
      <c r="G6" s="282" t="s">
        <v>802</v>
      </c>
      <c r="H6" s="282"/>
      <c r="I6" s="15"/>
      <c r="J6" s="760"/>
      <c r="K6" s="867" t="str">
        <f>'10-Grants Receivable'!K6</f>
        <v>Dec. 31, 2019</v>
      </c>
    </row>
    <row r="7" spans="1:14" ht="13.8" thickBot="1">
      <c r="B7" s="10"/>
      <c r="C7" s="10"/>
      <c r="D7" s="10"/>
      <c r="E7" s="10"/>
      <c r="F7" s="14"/>
      <c r="G7" s="16" t="s">
        <v>803</v>
      </c>
      <c r="H7" s="14"/>
      <c r="I7" s="14"/>
      <c r="J7" s="17"/>
      <c r="K7" s="868"/>
    </row>
    <row r="8" spans="1:14" ht="21" customHeight="1" thickTop="1">
      <c r="B8" s="885" t="s">
        <v>3547</v>
      </c>
      <c r="C8" s="885"/>
      <c r="D8" s="885"/>
      <c r="E8" s="901"/>
      <c r="F8" s="902">
        <f>+'10.18-Grants Receivable'!F27</f>
        <v>252825.13999999998</v>
      </c>
      <c r="G8" s="902">
        <f>+'10.18-Grants Receivable'!G27</f>
        <v>1018321.9400000001</v>
      </c>
      <c r="H8" s="902">
        <f>+'10.18-Grants Receivable'!H27</f>
        <v>1019635.3</v>
      </c>
      <c r="I8" s="902">
        <f>+'10.18-Grants Receivable'!I27</f>
        <v>0</v>
      </c>
      <c r="J8" s="902">
        <f>+'10.18-Grants Receivable'!J27</f>
        <v>0</v>
      </c>
      <c r="K8" s="903">
        <f>+'10.18-Grants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3565</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+'10.19-Grants Receivable'!F27</f>
        <v>252825.13999999998</v>
      </c>
      <c r="G8" s="902">
        <f>+'10.19-Grants Receivable'!G27</f>
        <v>1018321.9400000001</v>
      </c>
      <c r="H8" s="902">
        <f>+'10.19-Grants Receivable'!H27</f>
        <v>1019635.3</v>
      </c>
      <c r="I8" s="902">
        <f>+'10.19-Grants Receivable'!I27</f>
        <v>0</v>
      </c>
      <c r="J8" s="902">
        <f>+'10.19-Grants Receivable'!J27</f>
        <v>0</v>
      </c>
      <c r="K8" s="903">
        <f>+'10.19-Grants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3567</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f>F27+G27-H27+I27-K27-J27</f>
        <v>2.9103830456733704E-11</v>
      </c>
    </row>
    <row r="30" spans="1:12">
      <c r="F30" s="325"/>
      <c r="G30" s="325"/>
      <c r="K30" s="325"/>
      <c r="L30" s="325"/>
    </row>
    <row r="31" spans="1:12">
      <c r="K31" s="325">
        <f>+F27+G27-H27-I27-J27-K27</f>
        <v>0</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+'10.20-Grants Receivable'!F27</f>
        <v>252825.13999999998</v>
      </c>
      <c r="G8" s="902">
        <f>+'10.20-Grants Receivable'!G27</f>
        <v>1018321.9400000001</v>
      </c>
      <c r="H8" s="902">
        <f>+'10.20-Grants Receivable'!H27</f>
        <v>1019635.3</v>
      </c>
      <c r="I8" s="902">
        <f>+'10.20-Grants Receivable'!I27</f>
        <v>0</v>
      </c>
      <c r="J8" s="902">
        <f>+'10.20-Grants Receivable'!J27</f>
        <v>0</v>
      </c>
      <c r="K8" s="903">
        <f>+'10.20-Grants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3568</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+'10.21-Grants Receivable'!F27</f>
        <v>252825.13999999998</v>
      </c>
      <c r="G8" s="902">
        <f>+'10.21-Grants Receivable'!G27</f>
        <v>1018321.9400000001</v>
      </c>
      <c r="H8" s="902">
        <f>+'10.21-Grants Receivable'!H27</f>
        <v>1019635.3</v>
      </c>
      <c r="I8" s="902">
        <f>+'10.21-Grants Receivable'!I27</f>
        <v>0</v>
      </c>
      <c r="J8" s="902">
        <f>+'10.21-Grants Receivable'!J27</f>
        <v>0</v>
      </c>
      <c r="K8" s="903">
        <f>+'10.21-Grants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3569</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1" spans="1:14">
      <c r="B1" s="855"/>
      <c r="C1" s="855"/>
      <c r="D1" s="855"/>
      <c r="E1" s="855"/>
      <c r="F1" s="855"/>
      <c r="G1" s="855"/>
      <c r="H1" s="855"/>
      <c r="I1" s="855"/>
      <c r="J1" s="855"/>
      <c r="K1" s="855"/>
    </row>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+'10.22-Grants Receivable'!F27</f>
        <v>252825.13999999998</v>
      </c>
      <c r="G8" s="902">
        <f>+'10.22-Grants Receivable'!G27</f>
        <v>1018321.9400000001</v>
      </c>
      <c r="H8" s="902">
        <f>+'10.22-Grants Receivable'!H27</f>
        <v>1019635.3</v>
      </c>
      <c r="I8" s="902">
        <f>+'10.22-Grants Receivable'!I27</f>
        <v>0</v>
      </c>
      <c r="J8" s="902">
        <f>+'10.22-Grants Receivable'!J27</f>
        <v>0</v>
      </c>
      <c r="K8" s="903">
        <f>+'10.22-Grants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3570</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95" t="s">
        <v>296</v>
      </c>
      <c r="C2" s="1595"/>
      <c r="D2" s="1595"/>
      <c r="E2" s="1595"/>
      <c r="F2" s="1595"/>
      <c r="G2" s="1595"/>
      <c r="H2" s="1595"/>
      <c r="I2" s="1595"/>
      <c r="J2" s="1595"/>
      <c r="K2" s="1595"/>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+'10.23-Grants Receivable'!F27</f>
        <v>252825.13999999998</v>
      </c>
      <c r="G8" s="902">
        <f>+'10.23-Grants Receivable'!G27</f>
        <v>1018321.9400000001</v>
      </c>
      <c r="H8" s="902">
        <f>+'10.23-Grants Receivable'!H27</f>
        <v>1019635.3</v>
      </c>
      <c r="I8" s="902">
        <f>+'10.23-Grants Receivable'!I27</f>
        <v>0</v>
      </c>
      <c r="J8" s="902">
        <f>+'10.23-Grants Receivable'!J27</f>
        <v>0</v>
      </c>
      <c r="K8" s="903">
        <f>+'10.23-Grants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3571</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27" t="s">
        <v>3546</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3:Y70"/>
  <sheetViews>
    <sheetView topLeftCell="A10" zoomScaleNormal="100" workbookViewId="0">
      <selection activeCell="B1" sqref="B1"/>
    </sheetView>
  </sheetViews>
  <sheetFormatPr defaultRowHeight="13.2"/>
  <cols>
    <col min="2" max="2" width="4" customWidth="1"/>
    <col min="3" max="3" width="5.44140625" customWidth="1"/>
    <col min="4" max="4" width="3.6640625" customWidth="1"/>
    <col min="5" max="5" width="8.33203125" customWidth="1"/>
    <col min="6" max="6" width="6.5546875" customWidth="1"/>
    <col min="7" max="7" width="10.5546875" customWidth="1"/>
    <col min="8" max="8" width="5.33203125" customWidth="1"/>
    <col min="12" max="12" width="10.88671875" customWidth="1"/>
    <col min="14" max="14" width="1.44140625" customWidth="1"/>
    <col min="17" max="17" width="0" hidden="1" customWidth="1"/>
    <col min="25" max="25" width="0" hidden="1" customWidth="1"/>
  </cols>
  <sheetData>
    <row r="3" spans="2:14" ht="17.399999999999999">
      <c r="B3" s="184" t="s">
        <v>4</v>
      </c>
      <c r="C3" s="184"/>
      <c r="D3" s="184"/>
      <c r="E3" s="184"/>
      <c r="F3" s="184"/>
      <c r="G3" s="184"/>
      <c r="H3" s="184"/>
      <c r="I3" s="184"/>
      <c r="J3" s="184"/>
      <c r="K3" s="184"/>
      <c r="L3" s="184"/>
      <c r="M3" s="184"/>
      <c r="N3" s="184"/>
    </row>
    <row r="5" spans="2:14">
      <c r="B5" s="37" t="s">
        <v>346</v>
      </c>
    </row>
    <row r="8" spans="2:14" ht="13.8">
      <c r="B8" s="93" t="s">
        <v>811</v>
      </c>
    </row>
    <row r="9" spans="2:14" ht="13.8">
      <c r="B9" s="93" t="s">
        <v>652</v>
      </c>
    </row>
    <row r="10" spans="2:14" ht="13.8">
      <c r="B10" s="93" t="s">
        <v>1040</v>
      </c>
      <c r="C10" s="93"/>
      <c r="D10" s="93"/>
      <c r="E10" s="93"/>
      <c r="F10" s="1535" t="str">
        <f>+'KEY INPUTS'!D12</f>
        <v>BOROUGH</v>
      </c>
      <c r="G10" s="1535"/>
      <c r="H10" s="183" t="s">
        <v>683</v>
      </c>
      <c r="I10" s="1535" t="str">
        <f>+'KEY INPUTS'!D11</f>
        <v>SAYREVILLE</v>
      </c>
      <c r="J10" s="1535"/>
      <c r="K10" s="1535"/>
      <c r="L10" s="1535"/>
      <c r="M10" s="93"/>
      <c r="N10" s="93"/>
    </row>
    <row r="11" spans="2:14" ht="13.8">
      <c r="B11" s="93" t="s">
        <v>732</v>
      </c>
      <c r="C11" s="93"/>
      <c r="D11" s="93"/>
      <c r="E11" s="93"/>
      <c r="F11" s="186">
        <f>'KEY INPUTS'!D34</f>
        <v>2019</v>
      </c>
      <c r="G11" s="185" t="s">
        <v>927</v>
      </c>
      <c r="H11" s="93"/>
      <c r="I11" s="93"/>
      <c r="J11" s="93"/>
      <c r="K11" s="93"/>
      <c r="L11" s="93"/>
      <c r="M11" s="93"/>
    </row>
    <row r="12" spans="2:14" ht="13.8">
      <c r="B12" s="93" t="s">
        <v>364</v>
      </c>
      <c r="C12" s="93"/>
      <c r="D12" s="93"/>
      <c r="E12" s="93"/>
      <c r="F12" s="93"/>
      <c r="G12" s="93"/>
      <c r="H12" s="93"/>
      <c r="I12" s="93"/>
      <c r="J12" s="93"/>
      <c r="K12" s="93"/>
      <c r="L12" s="93"/>
      <c r="M12" s="93"/>
    </row>
    <row r="13" spans="2:14" ht="13.8">
      <c r="B13" s="93" t="s">
        <v>365</v>
      </c>
      <c r="C13" s="93"/>
      <c r="D13" s="93"/>
      <c r="E13" s="93"/>
      <c r="F13" s="93"/>
      <c r="G13" s="93"/>
      <c r="H13" s="93"/>
      <c r="I13" s="93"/>
      <c r="J13" s="93"/>
      <c r="K13" s="93"/>
      <c r="L13" s="93"/>
      <c r="M13" s="93"/>
    </row>
    <row r="14" spans="2:14" ht="13.8">
      <c r="B14" s="93" t="s">
        <v>367</v>
      </c>
      <c r="C14" s="93"/>
      <c r="D14" s="93"/>
      <c r="E14" s="93"/>
      <c r="F14" s="93"/>
      <c r="G14" s="93"/>
      <c r="H14" s="93"/>
      <c r="I14" s="93"/>
      <c r="J14" s="93"/>
      <c r="K14" s="93"/>
      <c r="L14" s="93"/>
      <c r="M14" s="93"/>
    </row>
    <row r="17" spans="2:25" ht="13.8">
      <c r="B17" s="93" t="s">
        <v>368</v>
      </c>
      <c r="C17" s="93"/>
      <c r="D17" s="93"/>
      <c r="E17" s="93"/>
      <c r="F17" s="93"/>
      <c r="G17" s="93"/>
      <c r="H17" s="93"/>
      <c r="I17" s="93"/>
      <c r="J17" s="93"/>
      <c r="K17" s="93"/>
      <c r="L17" s="93"/>
      <c r="M17" s="93"/>
    </row>
    <row r="18" spans="2:25" ht="13.8">
      <c r="B18" s="93" t="s">
        <v>369</v>
      </c>
      <c r="C18" s="93"/>
      <c r="D18" s="93"/>
      <c r="E18" s="93"/>
      <c r="F18" s="93"/>
      <c r="G18" s="93"/>
      <c r="H18" s="93"/>
      <c r="I18" s="93"/>
      <c r="J18" s="93"/>
      <c r="K18" s="93"/>
      <c r="L18" s="93"/>
      <c r="M18" s="93"/>
    </row>
    <row r="19" spans="2:25" ht="13.8">
      <c r="B19" s="93" t="s">
        <v>903</v>
      </c>
      <c r="C19" s="93"/>
      <c r="D19" s="93"/>
      <c r="E19" s="93"/>
      <c r="F19" s="93"/>
      <c r="G19" s="93"/>
      <c r="H19" s="93"/>
      <c r="I19" s="93"/>
      <c r="J19" s="93"/>
      <c r="K19" s="93"/>
      <c r="L19" s="93"/>
      <c r="M19" s="93"/>
    </row>
    <row r="20" spans="2:25" ht="13.8">
      <c r="B20" s="93" t="s">
        <v>3676</v>
      </c>
      <c r="C20" s="93"/>
      <c r="D20" s="93"/>
      <c r="E20" s="93"/>
      <c r="F20" s="93"/>
      <c r="G20" s="93" t="s">
        <v>3677</v>
      </c>
      <c r="H20" s="93"/>
      <c r="I20" s="93"/>
      <c r="J20" s="93"/>
      <c r="K20" s="93"/>
      <c r="L20" s="93"/>
      <c r="M20" s="93" t="s">
        <v>485</v>
      </c>
      <c r="Q20" s="711" t="s">
        <v>3640</v>
      </c>
    </row>
    <row r="21" spans="2:25" ht="13.8">
      <c r="B21" s="93" t="s">
        <v>3674</v>
      </c>
      <c r="C21" s="93"/>
      <c r="D21" s="93"/>
      <c r="E21" s="92" t="s">
        <v>3678</v>
      </c>
      <c r="F21" s="93"/>
      <c r="G21" s="288" t="s">
        <v>3679</v>
      </c>
      <c r="I21" s="93"/>
      <c r="J21" s="93"/>
      <c r="K21" s="93"/>
      <c r="L21" s="93"/>
      <c r="M21" s="93"/>
      <c r="P21" s="118" t="s">
        <v>3693</v>
      </c>
    </row>
    <row r="22" spans="2:25" ht="13.8">
      <c r="B22" s="93" t="s">
        <v>928</v>
      </c>
      <c r="C22" s="93"/>
      <c r="D22" s="93"/>
      <c r="E22" s="93"/>
      <c r="F22" s="93"/>
      <c r="G22" s="93"/>
      <c r="H22" s="1537" t="str">
        <f>'KEY INPUTS'!D46</f>
        <v>Dec. 31, 2019</v>
      </c>
      <c r="I22" s="1535"/>
      <c r="J22" s="93" t="s">
        <v>924</v>
      </c>
      <c r="K22" s="93"/>
      <c r="L22" s="93"/>
      <c r="M22" s="93"/>
      <c r="P22" s="118" t="s">
        <v>3675</v>
      </c>
      <c r="Y22" s="324" t="s">
        <v>3673</v>
      </c>
    </row>
    <row r="23" spans="2:25" ht="13.8">
      <c r="B23" s="93" t="s">
        <v>923</v>
      </c>
      <c r="C23" s="93"/>
      <c r="D23" s="93"/>
      <c r="E23" s="93"/>
      <c r="F23" s="93"/>
      <c r="G23" s="93"/>
      <c r="H23" s="93"/>
      <c r="I23" s="93"/>
      <c r="J23" s="93"/>
      <c r="K23" s="93"/>
      <c r="L23" s="93"/>
      <c r="M23" s="93"/>
      <c r="P23" s="829"/>
      <c r="Y23" s="324" t="s">
        <v>3674</v>
      </c>
    </row>
    <row r="24" spans="2:25" ht="13.8">
      <c r="B24" s="93" t="s">
        <v>831</v>
      </c>
      <c r="C24" s="93"/>
      <c r="D24" s="93"/>
      <c r="E24" s="93"/>
      <c r="F24" s="93"/>
      <c r="G24" s="93"/>
      <c r="H24" s="93"/>
      <c r="I24" s="93"/>
      <c r="J24" s="93"/>
      <c r="K24" s="93"/>
      <c r="L24" s="93"/>
      <c r="M24" s="93"/>
      <c r="Y24" s="324" t="s">
        <v>3672</v>
      </c>
    </row>
    <row r="25" spans="2:25" ht="13.8">
      <c r="B25" s="93" t="s">
        <v>832</v>
      </c>
      <c r="C25" s="93"/>
      <c r="D25" s="93"/>
      <c r="E25" s="93"/>
      <c r="F25" s="93"/>
      <c r="G25" s="93"/>
      <c r="H25" s="93"/>
      <c r="I25" s="93"/>
      <c r="J25" s="93"/>
      <c r="K25" s="93"/>
      <c r="L25" s="93"/>
      <c r="M25" s="93"/>
    </row>
    <row r="26" spans="2:25" ht="13.8">
      <c r="B26" s="93" t="s">
        <v>836</v>
      </c>
      <c r="C26" s="93"/>
      <c r="D26" s="93"/>
      <c r="E26" s="93"/>
      <c r="F26" s="93"/>
      <c r="G26" s="93"/>
      <c r="H26" s="93"/>
      <c r="I26" s="93"/>
      <c r="J26" s="93"/>
      <c r="K26" s="93"/>
      <c r="L26" s="93"/>
      <c r="M26" s="93"/>
    </row>
    <row r="27" spans="2:25" ht="13.8">
      <c r="B27" s="93" t="s">
        <v>837</v>
      </c>
      <c r="C27" s="93"/>
      <c r="D27" s="93"/>
      <c r="E27" s="93"/>
      <c r="F27" s="93"/>
      <c r="G27" s="93"/>
      <c r="H27" s="93"/>
      <c r="I27" s="93"/>
      <c r="J27" s="93"/>
      <c r="K27" s="93"/>
      <c r="L27" s="93"/>
      <c r="M27" s="93"/>
    </row>
    <row r="28" spans="2:25" ht="13.8">
      <c r="B28" s="93" t="s">
        <v>371</v>
      </c>
      <c r="C28" s="93"/>
      <c r="D28" s="93"/>
      <c r="E28" s="93"/>
      <c r="F28" s="93"/>
      <c r="G28" s="93"/>
      <c r="H28" s="93"/>
      <c r="I28" s="93"/>
      <c r="J28" s="93"/>
      <c r="K28" s="93"/>
      <c r="L28" s="93"/>
      <c r="M28" s="93"/>
    </row>
    <row r="29" spans="2:25" ht="13.8">
      <c r="B29" s="93" t="s">
        <v>929</v>
      </c>
      <c r="C29" s="93"/>
      <c r="D29" s="93"/>
      <c r="E29" s="93"/>
      <c r="F29" s="93"/>
      <c r="G29" s="93"/>
      <c r="H29" s="93"/>
      <c r="I29" s="93"/>
      <c r="J29" s="93"/>
      <c r="K29" s="93"/>
      <c r="L29" s="93"/>
      <c r="M29" s="93"/>
    </row>
    <row r="31" spans="2:25" ht="13.8">
      <c r="B31" s="93" t="s">
        <v>653</v>
      </c>
    </row>
    <row r="32" spans="2:25" ht="13.8">
      <c r="B32" s="93" t="s">
        <v>930</v>
      </c>
    </row>
    <row r="33" spans="2:19">
      <c r="B33" s="280"/>
      <c r="C33" s="280"/>
      <c r="D33" s="280"/>
      <c r="E33" s="280"/>
      <c r="F33" s="280"/>
      <c r="G33" s="280"/>
      <c r="H33" s="280"/>
      <c r="I33" s="280"/>
      <c r="J33" s="280"/>
      <c r="K33" s="280"/>
      <c r="L33" s="280"/>
      <c r="M33" s="280"/>
      <c r="N33" s="280"/>
      <c r="O33" s="280"/>
    </row>
    <row r="34" spans="2:19" ht="13.8">
      <c r="B34" s="830"/>
      <c r="C34" s="830"/>
      <c r="D34" s="830"/>
      <c r="E34" s="830"/>
      <c r="F34" s="830"/>
      <c r="G34" s="830"/>
      <c r="H34" s="830"/>
      <c r="I34" s="830"/>
      <c r="J34" s="830"/>
      <c r="K34" s="830"/>
      <c r="L34" s="830"/>
      <c r="M34" s="830"/>
      <c r="N34" s="288"/>
      <c r="O34" s="288"/>
    </row>
    <row r="35" spans="2:19" ht="13.8">
      <c r="B35" s="830"/>
      <c r="C35" s="830"/>
      <c r="D35" s="830"/>
      <c r="E35" s="830"/>
      <c r="F35" s="830"/>
      <c r="G35" s="830"/>
      <c r="H35" s="830"/>
      <c r="I35" s="830"/>
      <c r="J35" s="830"/>
      <c r="K35" s="830"/>
      <c r="L35" s="830"/>
      <c r="M35" s="830"/>
      <c r="N35" s="288"/>
      <c r="O35" s="288"/>
    </row>
    <row r="36" spans="2:19" ht="13.8">
      <c r="B36" s="831"/>
      <c r="C36" s="831"/>
      <c r="D36" s="832"/>
      <c r="E36" s="831"/>
      <c r="F36" s="830"/>
      <c r="G36" s="830"/>
      <c r="H36" s="830"/>
      <c r="I36" s="830"/>
      <c r="J36" s="830"/>
      <c r="K36" s="830"/>
      <c r="L36" s="830"/>
      <c r="M36" s="830"/>
      <c r="N36" s="288"/>
      <c r="O36" s="288"/>
    </row>
    <row r="37" spans="2:19" ht="13.8">
      <c r="B37" s="831"/>
      <c r="C37" s="831"/>
      <c r="D37" s="831"/>
      <c r="E37" s="831"/>
      <c r="F37" s="830"/>
      <c r="G37" s="830"/>
      <c r="H37" s="830"/>
      <c r="I37" s="830"/>
      <c r="J37" s="830"/>
      <c r="K37" s="830"/>
      <c r="L37" s="830"/>
      <c r="M37" s="830"/>
      <c r="N37" s="288"/>
      <c r="O37" s="288"/>
    </row>
    <row r="38" spans="2:19" ht="13.8">
      <c r="B38" s="831"/>
      <c r="C38" s="831"/>
      <c r="D38" s="832"/>
      <c r="E38" s="831"/>
      <c r="F38" s="830"/>
      <c r="G38" s="830"/>
      <c r="H38" s="830"/>
      <c r="I38" s="830"/>
      <c r="J38" s="830"/>
      <c r="K38" s="830"/>
      <c r="L38" s="830"/>
      <c r="M38" s="830"/>
      <c r="N38" s="288"/>
      <c r="O38" s="288"/>
    </row>
    <row r="39" spans="2:19" s="280" customFormat="1" ht="13.8">
      <c r="B39" s="831"/>
      <c r="C39" s="831"/>
      <c r="D39" s="832"/>
      <c r="E39" s="831"/>
      <c r="F39" s="830"/>
      <c r="G39" s="830"/>
      <c r="H39" s="830"/>
      <c r="I39" s="830"/>
      <c r="J39" s="830"/>
      <c r="K39" s="830"/>
      <c r="L39" s="830"/>
      <c r="M39" s="830"/>
      <c r="N39" s="288"/>
      <c r="O39" s="288"/>
      <c r="S39"/>
    </row>
    <row r="40" spans="2:19" s="280" customFormat="1" ht="13.8">
      <c r="B40" s="831"/>
      <c r="C40" s="831"/>
      <c r="D40" s="831"/>
      <c r="E40" s="831"/>
      <c r="F40" s="830"/>
      <c r="G40" s="830"/>
      <c r="H40" s="830"/>
      <c r="I40" s="830"/>
      <c r="J40" s="830"/>
      <c r="K40" s="830"/>
      <c r="L40" s="830"/>
      <c r="M40" s="830"/>
      <c r="N40" s="288"/>
      <c r="O40" s="288"/>
    </row>
    <row r="41" spans="2:19" ht="13.8">
      <c r="B41" s="831"/>
      <c r="C41" s="833"/>
      <c r="D41" s="832"/>
      <c r="E41" s="831"/>
      <c r="F41" s="830"/>
      <c r="G41" s="830"/>
      <c r="H41" s="830"/>
      <c r="I41" s="830"/>
      <c r="J41" s="830"/>
      <c r="K41" s="830"/>
      <c r="L41" s="830"/>
      <c r="M41" s="830"/>
      <c r="N41" s="288"/>
      <c r="O41" s="288"/>
    </row>
    <row r="42" spans="2:19" ht="13.8">
      <c r="B42" s="831"/>
      <c r="C42" s="831"/>
      <c r="D42" s="832"/>
      <c r="E42" s="831"/>
      <c r="F42" s="830"/>
      <c r="G42" s="830"/>
      <c r="H42" s="830"/>
      <c r="I42" s="830"/>
      <c r="J42" s="830"/>
      <c r="K42" s="830"/>
      <c r="L42" s="830"/>
      <c r="M42" s="830"/>
      <c r="N42" s="288"/>
      <c r="O42" s="288"/>
    </row>
    <row r="43" spans="2:19" ht="13.8">
      <c r="B43" s="831"/>
      <c r="C43" s="831"/>
      <c r="D43" s="831"/>
      <c r="E43" s="831"/>
      <c r="F43" s="830"/>
      <c r="G43" s="830"/>
      <c r="H43" s="830"/>
      <c r="I43" s="830"/>
      <c r="J43" s="830"/>
      <c r="K43" s="830"/>
      <c r="L43" s="830"/>
      <c r="M43" s="830"/>
      <c r="N43" s="288"/>
      <c r="O43" s="288"/>
    </row>
    <row r="44" spans="2:19" ht="13.8">
      <c r="B44" s="831"/>
      <c r="C44" s="831"/>
      <c r="D44" s="832"/>
      <c r="E44" s="831"/>
      <c r="F44" s="830"/>
      <c r="G44" s="830"/>
      <c r="H44" s="830"/>
      <c r="I44" s="830"/>
      <c r="J44" s="830"/>
      <c r="K44" s="830"/>
      <c r="L44" s="830"/>
      <c r="M44" s="830"/>
      <c r="N44" s="288"/>
      <c r="O44" s="288"/>
    </row>
    <row r="45" spans="2:19" ht="13.8">
      <c r="B45" s="831"/>
      <c r="C45" s="831"/>
      <c r="D45" s="832"/>
      <c r="E45" s="831"/>
      <c r="F45" s="830"/>
      <c r="G45" s="830"/>
      <c r="H45" s="830"/>
      <c r="I45" s="830"/>
      <c r="J45" s="830"/>
      <c r="K45" s="830"/>
      <c r="L45" s="830"/>
      <c r="M45" s="830"/>
      <c r="N45" s="288"/>
      <c r="O45" s="288"/>
    </row>
    <row r="46" spans="2:19" ht="13.8">
      <c r="B46" s="831"/>
      <c r="C46" s="831"/>
      <c r="D46" s="831"/>
      <c r="E46" s="831"/>
      <c r="F46" s="830"/>
      <c r="G46" s="830"/>
      <c r="H46" s="830"/>
      <c r="I46" s="830"/>
      <c r="J46" s="830"/>
      <c r="K46" s="830"/>
      <c r="L46" s="830"/>
      <c r="M46" s="830"/>
      <c r="N46" s="288"/>
      <c r="O46" s="288"/>
    </row>
    <row r="47" spans="2:19" ht="13.8">
      <c r="B47" s="831"/>
      <c r="C47" s="831"/>
      <c r="D47" s="831"/>
      <c r="E47" s="831"/>
      <c r="F47" s="830"/>
      <c r="G47" s="830"/>
      <c r="H47" s="830"/>
      <c r="I47" s="830"/>
      <c r="J47" s="830"/>
      <c r="K47" s="830"/>
      <c r="L47" s="830"/>
      <c r="M47" s="830"/>
      <c r="N47" s="288"/>
      <c r="O47" s="288"/>
    </row>
    <row r="48" spans="2:19" ht="13.8">
      <c r="B48" s="831"/>
      <c r="C48" s="831"/>
      <c r="D48" s="831"/>
      <c r="E48" s="831"/>
      <c r="F48" s="830"/>
      <c r="G48" s="830"/>
      <c r="H48" s="830"/>
      <c r="I48" s="830"/>
      <c r="J48" s="830"/>
      <c r="K48" s="830"/>
      <c r="L48" s="830"/>
      <c r="M48" s="830"/>
      <c r="N48" s="288"/>
      <c r="O48" s="288"/>
    </row>
    <row r="49" spans="2:13">
      <c r="B49" s="313"/>
      <c r="C49" s="313"/>
      <c r="D49" s="313"/>
      <c r="E49" s="313"/>
    </row>
    <row r="50" spans="2:13">
      <c r="I50" s="1516" t="str">
        <f>IF('KEY INPUTS'!D22=0,"NO ENTRY",'KEY INPUTS'!D22)</f>
        <v>NO ENTRY</v>
      </c>
      <c r="J50" s="1516"/>
      <c r="K50" s="1516"/>
      <c r="L50" s="1516"/>
      <c r="M50" s="1516"/>
    </row>
    <row r="51" spans="2:13">
      <c r="I51" s="1532" t="s">
        <v>815</v>
      </c>
      <c r="J51" s="1532"/>
      <c r="K51" s="1532"/>
      <c r="L51" s="1532"/>
      <c r="M51" s="1532"/>
    </row>
    <row r="53" spans="2:13">
      <c r="I53" s="1533"/>
      <c r="J53" s="1533"/>
      <c r="K53" s="1533"/>
      <c r="L53" s="1533"/>
      <c r="M53" s="1533"/>
    </row>
    <row r="54" spans="2:13">
      <c r="I54" s="1532" t="s">
        <v>816</v>
      </c>
      <c r="J54" s="1532"/>
      <c r="K54" s="1532"/>
      <c r="L54" s="1532"/>
      <c r="M54" s="1532"/>
    </row>
    <row r="56" spans="2:13">
      <c r="I56" s="1533"/>
      <c r="J56" s="1533"/>
      <c r="K56" s="1533"/>
      <c r="L56" s="1533"/>
      <c r="M56" s="1533"/>
    </row>
    <row r="57" spans="2:13">
      <c r="I57" s="1532" t="s">
        <v>817</v>
      </c>
      <c r="J57" s="1532"/>
      <c r="K57" s="1532"/>
      <c r="L57" s="1532"/>
      <c r="M57" s="1532"/>
    </row>
    <row r="59" spans="2:13">
      <c r="B59" t="s">
        <v>812</v>
      </c>
      <c r="I59" s="1533"/>
      <c r="J59" s="1533"/>
      <c r="K59" s="1533"/>
      <c r="L59" s="1533"/>
      <c r="M59" s="1533"/>
    </row>
    <row r="60" spans="2:13">
      <c r="I60" s="1532" t="s">
        <v>817</v>
      </c>
      <c r="J60" s="1532"/>
      <c r="K60" s="1532"/>
      <c r="L60" s="1532"/>
      <c r="M60" s="1532"/>
    </row>
    <row r="61" spans="2:13">
      <c r="B61" t="s">
        <v>813</v>
      </c>
      <c r="C61" s="712"/>
      <c r="D61" t="s">
        <v>814</v>
      </c>
      <c r="E61" s="1536"/>
      <c r="F61" s="1533"/>
      <c r="G61" s="1533"/>
      <c r="H61" s="285" t="str">
        <f>","&amp;TEXT('KEY INPUTS'!D33,"0")</f>
        <v>,2020</v>
      </c>
    </row>
    <row r="62" spans="2:13">
      <c r="C62" s="132"/>
      <c r="E62" s="132"/>
      <c r="F62" s="132"/>
      <c r="G62" s="132"/>
      <c r="I62" s="42"/>
      <c r="J62" s="1533"/>
      <c r="K62" s="1533"/>
      <c r="L62" s="1533"/>
      <c r="M62" s="42"/>
    </row>
    <row r="63" spans="2:13">
      <c r="I63" s="1534" t="s">
        <v>818</v>
      </c>
      <c r="J63" s="1532"/>
      <c r="K63" s="1532"/>
      <c r="L63" s="1532"/>
      <c r="M63" s="1534"/>
    </row>
    <row r="65" spans="1:14">
      <c r="I65" s="42"/>
      <c r="J65" s="1533"/>
      <c r="K65" s="1533"/>
      <c r="L65" s="1533"/>
      <c r="M65" s="42"/>
    </row>
    <row r="66" spans="1:14">
      <c r="I66" s="1534" t="s">
        <v>98</v>
      </c>
      <c r="J66" s="1532"/>
      <c r="K66" s="1532"/>
      <c r="L66" s="1532"/>
      <c r="M66" s="1534"/>
    </row>
    <row r="70" spans="1:14" ht="13.8">
      <c r="A70" s="1507" t="s">
        <v>1039</v>
      </c>
      <c r="B70" s="1507"/>
      <c r="C70" s="1507"/>
      <c r="D70" s="1507"/>
      <c r="E70" s="1507"/>
      <c r="F70" s="1507"/>
      <c r="G70" s="1507"/>
      <c r="H70" s="1507"/>
      <c r="I70" s="1507"/>
      <c r="J70" s="1507"/>
      <c r="K70" s="1507"/>
      <c r="L70" s="1507"/>
      <c r="M70" s="1507"/>
      <c r="N70" s="1507"/>
    </row>
  </sheetData>
  <sheetProtection password="CAF9" sheet="1" objects="1" scenarios="1"/>
  <mergeCells count="17">
    <mergeCell ref="I53:M53"/>
    <mergeCell ref="I54:M54"/>
    <mergeCell ref="I10:L10"/>
    <mergeCell ref="F10:G10"/>
    <mergeCell ref="E61:G61"/>
    <mergeCell ref="H22:I22"/>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2:N32"/>
  <sheetViews>
    <sheetView zoomScaleNormal="100" workbookViewId="0">
      <selection activeCell="B1" sqref="B1"/>
    </sheetView>
  </sheetViews>
  <sheetFormatPr defaultColWidth="9.109375" defaultRowHeight="13.2"/>
  <cols>
    <col min="1" max="1" width="5.6640625" style="322" customWidth="1"/>
    <col min="2" max="4" width="4.88671875" style="322" customWidth="1"/>
    <col min="5" max="5" width="36.109375" style="322" customWidth="1"/>
    <col min="6" max="11" width="15.6640625" style="322" customWidth="1"/>
    <col min="12" max="12" width="11.88671875" style="322" bestFit="1" customWidth="1"/>
    <col min="13" max="16384" width="9.109375" style="322"/>
  </cols>
  <sheetData>
    <row r="2" spans="1:14" ht="20.399999999999999">
      <c r="B2" s="1508" t="s">
        <v>296</v>
      </c>
      <c r="C2" s="1508"/>
      <c r="D2" s="1508"/>
      <c r="E2" s="1508"/>
      <c r="F2" s="1508"/>
      <c r="G2" s="1508"/>
      <c r="H2" s="1508"/>
      <c r="I2" s="1508"/>
      <c r="J2" s="1508"/>
      <c r="K2" s="1508"/>
    </row>
    <row r="3" spans="1:14" ht="21" thickBot="1">
      <c r="B3" s="1595" t="s">
        <v>790</v>
      </c>
      <c r="C3" s="1595"/>
      <c r="D3" s="1595"/>
      <c r="E3" s="1595"/>
      <c r="F3" s="1595"/>
      <c r="G3" s="1595"/>
      <c r="H3" s="1595"/>
      <c r="I3" s="1595"/>
      <c r="J3" s="1595"/>
      <c r="K3" s="1595"/>
    </row>
    <row r="4" spans="1:14" ht="13.8" thickTop="1">
      <c r="B4" s="888"/>
      <c r="C4" s="888"/>
      <c r="D4" s="888"/>
      <c r="E4" s="888"/>
      <c r="F4" s="889"/>
      <c r="G4" s="889">
        <f>'KEY INPUTS'!D34</f>
        <v>2019</v>
      </c>
      <c r="H4" s="889"/>
      <c r="I4" s="890"/>
      <c r="J4" s="888"/>
      <c r="K4" s="865"/>
    </row>
    <row r="5" spans="1:14">
      <c r="B5" s="1596" t="s">
        <v>805</v>
      </c>
      <c r="C5" s="1596"/>
      <c r="D5" s="1596"/>
      <c r="E5" s="1597"/>
      <c r="F5" s="891" t="s">
        <v>672</v>
      </c>
      <c r="G5" s="891" t="s">
        <v>677</v>
      </c>
      <c r="H5" s="891" t="s">
        <v>804</v>
      </c>
      <c r="I5" s="892" t="s">
        <v>280</v>
      </c>
      <c r="J5" s="893" t="s">
        <v>566</v>
      </c>
      <c r="K5" s="866" t="s">
        <v>672</v>
      </c>
    </row>
    <row r="6" spans="1:14">
      <c r="B6" s="855"/>
      <c r="C6" s="855"/>
      <c r="D6" s="855"/>
      <c r="E6" s="855"/>
      <c r="F6" s="894" t="str">
        <f>'10-Grants Receivable'!F6</f>
        <v>Jan. 1, 2019</v>
      </c>
      <c r="G6" s="891" t="s">
        <v>802</v>
      </c>
      <c r="H6" s="891"/>
      <c r="I6" s="895"/>
      <c r="J6" s="896"/>
      <c r="K6" s="867" t="str">
        <f>'10-Grants Receivable'!K6</f>
        <v>Dec. 31, 2019</v>
      </c>
    </row>
    <row r="7" spans="1:14" ht="13.8" thickBot="1">
      <c r="B7" s="897"/>
      <c r="C7" s="897"/>
      <c r="D7" s="897"/>
      <c r="E7" s="897"/>
      <c r="F7" s="898"/>
      <c r="G7" s="899" t="s">
        <v>803</v>
      </c>
      <c r="H7" s="898"/>
      <c r="I7" s="898"/>
      <c r="J7" s="900"/>
      <c r="K7" s="868"/>
    </row>
    <row r="8" spans="1:14" ht="21" customHeight="1" thickTop="1">
      <c r="B8" s="885" t="s">
        <v>3547</v>
      </c>
      <c r="C8" s="885"/>
      <c r="D8" s="885"/>
      <c r="E8" s="901"/>
      <c r="F8" s="902">
        <f>+'10.24-Grants Receivable'!F27</f>
        <v>252825.13999999998</v>
      </c>
      <c r="G8" s="902">
        <f>+'10.24-Grants Receivable'!G27</f>
        <v>1018321.9400000001</v>
      </c>
      <c r="H8" s="902">
        <f>+'10.24-Grants Receivable'!H27</f>
        <v>1019635.3</v>
      </c>
      <c r="I8" s="902">
        <f>+'10.24-Grants Receivable'!I27</f>
        <v>0</v>
      </c>
      <c r="J8" s="902">
        <f>+'10.24-Grants Receivable'!J27</f>
        <v>0</v>
      </c>
      <c r="K8" s="903">
        <f>+'10.24-Grants Receivable'!K27</f>
        <v>251511.78</v>
      </c>
    </row>
    <row r="9" spans="1:14" ht="21" customHeight="1">
      <c r="B9" s="566"/>
      <c r="C9" s="566"/>
      <c r="D9" s="566"/>
      <c r="E9" s="572"/>
      <c r="F9" s="374"/>
      <c r="G9" s="374"/>
      <c r="H9" s="374"/>
      <c r="I9" s="374"/>
      <c r="J9" s="374"/>
      <c r="K9" s="846">
        <f t="shared" ref="K9:K26" si="0">+F9+G9-H9+I9-J9</f>
        <v>0</v>
      </c>
      <c r="L9" s="325"/>
    </row>
    <row r="10" spans="1:14" ht="21" customHeight="1">
      <c r="B10" s="566"/>
      <c r="C10" s="566"/>
      <c r="D10" s="566"/>
      <c r="E10" s="572"/>
      <c r="F10" s="374"/>
      <c r="G10" s="374"/>
      <c r="H10" s="374"/>
      <c r="I10" s="374"/>
      <c r="J10" s="374"/>
      <c r="K10" s="846">
        <f t="shared" si="0"/>
        <v>0</v>
      </c>
      <c r="N10" s="377"/>
    </row>
    <row r="11" spans="1:14" ht="21" customHeight="1">
      <c r="B11" s="566"/>
      <c r="C11" s="566"/>
      <c r="D11" s="566"/>
      <c r="E11" s="572"/>
      <c r="F11" s="374"/>
      <c r="G11" s="374"/>
      <c r="H11" s="374"/>
      <c r="I11" s="374"/>
      <c r="J11" s="374"/>
      <c r="K11" s="846">
        <f t="shared" si="0"/>
        <v>0</v>
      </c>
      <c r="L11" s="325"/>
    </row>
    <row r="12" spans="1:14" ht="21" customHeight="1">
      <c r="B12" s="566"/>
      <c r="C12" s="576"/>
      <c r="D12" s="566"/>
      <c r="E12" s="572"/>
      <c r="F12" s="374"/>
      <c r="G12" s="374"/>
      <c r="H12" s="374"/>
      <c r="I12" s="374"/>
      <c r="J12" s="374"/>
      <c r="K12" s="846">
        <f t="shared" si="0"/>
        <v>0</v>
      </c>
    </row>
    <row r="13" spans="1:14" ht="21" customHeight="1">
      <c r="B13" s="566"/>
      <c r="C13" s="576"/>
      <c r="D13" s="566"/>
      <c r="E13" s="572"/>
      <c r="F13" s="374"/>
      <c r="G13" s="374"/>
      <c r="H13" s="374"/>
      <c r="I13" s="374"/>
      <c r="J13" s="374"/>
      <c r="K13" s="846">
        <f t="shared" si="0"/>
        <v>0</v>
      </c>
    </row>
    <row r="14" spans="1:14" ht="21" customHeight="1">
      <c r="B14" s="566"/>
      <c r="C14" s="566"/>
      <c r="D14" s="566"/>
      <c r="E14" s="572"/>
      <c r="F14" s="374"/>
      <c r="G14" s="374"/>
      <c r="H14" s="374"/>
      <c r="I14" s="374"/>
      <c r="J14" s="374"/>
      <c r="K14" s="846">
        <f t="shared" si="0"/>
        <v>0</v>
      </c>
    </row>
    <row r="15" spans="1:14" ht="21" customHeight="1">
      <c r="A15" s="1576" t="s">
        <v>3664</v>
      </c>
      <c r="B15" s="566"/>
      <c r="C15" s="567"/>
      <c r="D15" s="566"/>
      <c r="E15" s="572"/>
      <c r="F15" s="374"/>
      <c r="G15" s="374"/>
      <c r="H15" s="374"/>
      <c r="I15" s="374"/>
      <c r="J15" s="374"/>
      <c r="K15" s="846">
        <f t="shared" si="0"/>
        <v>0</v>
      </c>
    </row>
    <row r="16" spans="1:14" ht="21" customHeight="1">
      <c r="A16" s="1576"/>
      <c r="B16" s="566"/>
      <c r="C16" s="567"/>
      <c r="D16" s="566"/>
      <c r="E16" s="572"/>
      <c r="F16" s="374"/>
      <c r="G16" s="374"/>
      <c r="H16" s="374"/>
      <c r="I16" s="374"/>
      <c r="J16" s="374"/>
      <c r="K16" s="846">
        <f t="shared" si="0"/>
        <v>0</v>
      </c>
    </row>
    <row r="17" spans="1:12" ht="21" customHeight="1">
      <c r="A17" s="1576"/>
      <c r="B17" s="566"/>
      <c r="C17" s="567"/>
      <c r="D17" s="566"/>
      <c r="E17" s="572"/>
      <c r="F17" s="374"/>
      <c r="G17" s="374"/>
      <c r="H17" s="374"/>
      <c r="I17" s="374"/>
      <c r="J17" s="374"/>
      <c r="K17" s="846">
        <f t="shared" si="0"/>
        <v>0</v>
      </c>
    </row>
    <row r="18" spans="1:12" ht="21" customHeight="1">
      <c r="B18" s="566"/>
      <c r="C18" s="567"/>
      <c r="D18" s="566"/>
      <c r="E18" s="572"/>
      <c r="F18" s="374"/>
      <c r="G18" s="374"/>
      <c r="H18" s="374"/>
      <c r="I18" s="374"/>
      <c r="J18" s="374"/>
      <c r="K18" s="846">
        <f t="shared" si="0"/>
        <v>0</v>
      </c>
    </row>
    <row r="19" spans="1:12" ht="21" customHeight="1">
      <c r="B19" s="566"/>
      <c r="C19" s="567"/>
      <c r="D19" s="566"/>
      <c r="E19" s="572"/>
      <c r="F19" s="374"/>
      <c r="G19" s="374"/>
      <c r="H19" s="374"/>
      <c r="I19" s="374"/>
      <c r="J19" s="374"/>
      <c r="K19" s="846">
        <f t="shared" si="0"/>
        <v>0</v>
      </c>
    </row>
    <row r="20" spans="1:12" ht="21" customHeight="1">
      <c r="B20" s="566"/>
      <c r="C20" s="566"/>
      <c r="D20" s="566"/>
      <c r="E20" s="572"/>
      <c r="F20" s="374"/>
      <c r="G20" s="374"/>
      <c r="H20" s="374"/>
      <c r="I20" s="374"/>
      <c r="J20" s="374"/>
      <c r="K20" s="846">
        <f t="shared" si="0"/>
        <v>0</v>
      </c>
    </row>
    <row r="21" spans="1:12" ht="21" customHeight="1">
      <c r="B21" s="566"/>
      <c r="C21" s="566"/>
      <c r="D21" s="566"/>
      <c r="E21" s="572"/>
      <c r="F21" s="374"/>
      <c r="G21" s="374"/>
      <c r="H21" s="374"/>
      <c r="I21" s="374"/>
      <c r="J21" s="374"/>
      <c r="K21" s="846">
        <f t="shared" si="0"/>
        <v>0</v>
      </c>
    </row>
    <row r="22" spans="1:12" ht="21" customHeight="1">
      <c r="B22" s="566"/>
      <c r="C22" s="566"/>
      <c r="D22" s="566"/>
      <c r="E22" s="572"/>
      <c r="F22" s="374"/>
      <c r="G22" s="374"/>
      <c r="H22" s="374"/>
      <c r="I22" s="374"/>
      <c r="J22" s="374"/>
      <c r="K22" s="846">
        <f t="shared" si="0"/>
        <v>0</v>
      </c>
    </row>
    <row r="23" spans="1:12" ht="21" customHeight="1">
      <c r="B23" s="566"/>
      <c r="C23" s="566"/>
      <c r="D23" s="566"/>
      <c r="E23" s="572"/>
      <c r="F23" s="374"/>
      <c r="G23" s="374"/>
      <c r="H23" s="374"/>
      <c r="I23" s="374"/>
      <c r="J23" s="374"/>
      <c r="K23" s="846">
        <f t="shared" si="0"/>
        <v>0</v>
      </c>
    </row>
    <row r="24" spans="1:12" ht="21" customHeight="1">
      <c r="B24" s="566"/>
      <c r="C24" s="566"/>
      <c r="D24" s="566"/>
      <c r="E24" s="572"/>
      <c r="F24" s="374"/>
      <c r="G24" s="374"/>
      <c r="H24" s="374"/>
      <c r="I24" s="374"/>
      <c r="J24" s="374"/>
      <c r="K24" s="846">
        <f t="shared" si="0"/>
        <v>0</v>
      </c>
    </row>
    <row r="25" spans="1:12" ht="21" customHeight="1">
      <c r="B25" s="566"/>
      <c r="C25" s="566"/>
      <c r="D25" s="566"/>
      <c r="E25" s="572"/>
      <c r="F25" s="374"/>
      <c r="G25" s="374"/>
      <c r="H25" s="374"/>
      <c r="I25" s="374"/>
      <c r="J25" s="374"/>
      <c r="K25" s="846">
        <f t="shared" si="0"/>
        <v>0</v>
      </c>
    </row>
    <row r="26" spans="1:12" ht="21" customHeight="1">
      <c r="B26" s="566"/>
      <c r="C26" s="566"/>
      <c r="D26" s="566"/>
      <c r="E26" s="572"/>
      <c r="F26" s="374"/>
      <c r="G26" s="374"/>
      <c r="H26" s="374"/>
      <c r="I26" s="374"/>
      <c r="J26" s="374"/>
      <c r="K26" s="846">
        <f t="shared" si="0"/>
        <v>0</v>
      </c>
    </row>
    <row r="27" spans="1:12" ht="21" customHeight="1" thickBot="1">
      <c r="B27" s="27"/>
      <c r="C27" s="328" t="s">
        <v>3572</v>
      </c>
      <c r="D27" s="27"/>
      <c r="E27" s="41"/>
      <c r="F27" s="99">
        <f t="shared" ref="F27:K27" si="1">SUM(F8:F26)</f>
        <v>252825.13999999998</v>
      </c>
      <c r="G27" s="99">
        <f t="shared" si="1"/>
        <v>1018321.9400000001</v>
      </c>
      <c r="H27" s="99">
        <f t="shared" si="1"/>
        <v>1019635.3</v>
      </c>
      <c r="I27" s="99">
        <f t="shared" si="1"/>
        <v>0</v>
      </c>
      <c r="J27" s="99">
        <f t="shared" si="1"/>
        <v>0</v>
      </c>
      <c r="K27" s="864">
        <f t="shared" si="1"/>
        <v>251511.78</v>
      </c>
    </row>
    <row r="28" spans="1:12" ht="13.8"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O34"/>
  <sheetViews>
    <sheetView zoomScaleNormal="100" workbookViewId="0">
      <selection activeCell="I9" sqref="I9:I20"/>
    </sheetView>
  </sheetViews>
  <sheetFormatPr defaultRowHeight="13.2"/>
  <cols>
    <col min="1" max="1" width="5.6640625" customWidth="1"/>
    <col min="2" max="2" width="4.109375" customWidth="1"/>
    <col min="3" max="4" width="4.88671875" customWidth="1"/>
    <col min="5" max="5" width="43.44140625" customWidth="1"/>
    <col min="6" max="10" width="15.6640625" customWidth="1"/>
    <col min="11" max="11" width="15.5546875" customWidth="1"/>
    <col min="12" max="12" width="15.6640625" style="246" customWidth="1"/>
    <col min="13" max="13" width="10.88671875" bestFit="1" customWidth="1"/>
  </cols>
  <sheetData>
    <row r="1" spans="1:15">
      <c r="B1" s="322"/>
      <c r="C1" s="322"/>
      <c r="D1" s="322"/>
      <c r="E1" s="322"/>
      <c r="F1" s="322"/>
      <c r="G1" s="322"/>
      <c r="H1" s="322"/>
      <c r="I1" s="322"/>
      <c r="J1" s="322"/>
      <c r="K1" s="322"/>
      <c r="L1" s="277"/>
    </row>
    <row r="2" spans="1:15" ht="20.399999999999999">
      <c r="B2" s="1508" t="s">
        <v>303</v>
      </c>
      <c r="C2" s="1508"/>
      <c r="D2" s="1508"/>
      <c r="E2" s="1508"/>
      <c r="F2" s="1508"/>
      <c r="G2" s="1508"/>
      <c r="H2" s="1508"/>
      <c r="I2" s="1508"/>
      <c r="J2" s="1508"/>
      <c r="K2" s="1508"/>
      <c r="L2" s="1508"/>
    </row>
    <row r="3" spans="1:15" ht="21" thickBot="1">
      <c r="B3" s="1508" t="s">
        <v>135</v>
      </c>
      <c r="C3" s="1508"/>
      <c r="D3" s="1508"/>
      <c r="E3" s="1508"/>
      <c r="F3" s="1508"/>
      <c r="G3" s="1508"/>
      <c r="H3" s="1508"/>
      <c r="I3" s="1508"/>
      <c r="J3" s="1508"/>
      <c r="K3" s="1508"/>
      <c r="L3" s="1508"/>
    </row>
    <row r="4" spans="1:15" ht="13.8" thickTop="1">
      <c r="B4" s="11"/>
      <c r="C4" s="11"/>
      <c r="D4" s="11"/>
      <c r="E4" s="11"/>
      <c r="F4" s="12"/>
      <c r="G4" s="1599" t="str">
        <f>"Transferred from "&amp;TEXT('KEY INPUTS'!D34,"0")</f>
        <v>Transferred from 2019</v>
      </c>
      <c r="H4" s="1600"/>
      <c r="I4" s="12"/>
      <c r="J4" s="6"/>
      <c r="K4" s="11"/>
      <c r="L4" s="265"/>
    </row>
    <row r="5" spans="1:15">
      <c r="B5" s="1545" t="s">
        <v>805</v>
      </c>
      <c r="C5" s="1545"/>
      <c r="D5" s="1545"/>
      <c r="E5" s="1594"/>
      <c r="F5" s="282" t="s">
        <v>672</v>
      </c>
      <c r="G5" s="1601" t="s">
        <v>301</v>
      </c>
      <c r="H5" s="1602"/>
      <c r="I5" s="282" t="s">
        <v>302</v>
      </c>
      <c r="J5" s="790" t="s">
        <v>280</v>
      </c>
      <c r="K5" s="993" t="s">
        <v>566</v>
      </c>
      <c r="L5" s="266" t="s">
        <v>672</v>
      </c>
    </row>
    <row r="6" spans="1:15">
      <c r="B6" s="322"/>
      <c r="C6" s="322"/>
      <c r="D6" s="322"/>
      <c r="E6" s="322"/>
      <c r="F6" s="299" t="str">
        <f>'KEY INPUTS'!D47</f>
        <v>Jan. 1, 2019</v>
      </c>
      <c r="G6" s="282" t="s">
        <v>677</v>
      </c>
      <c r="H6" s="282" t="s">
        <v>299</v>
      </c>
      <c r="I6" s="282"/>
      <c r="J6" s="282"/>
      <c r="K6" s="999"/>
      <c r="L6" s="300" t="str">
        <f>'KEY INPUTS'!D46</f>
        <v>Dec. 31, 2019</v>
      </c>
    </row>
    <row r="7" spans="1:15" ht="13.8" thickBot="1">
      <c r="B7" s="10"/>
      <c r="C7" s="10"/>
      <c r="D7" s="10"/>
      <c r="E7" s="10"/>
      <c r="F7" s="14"/>
      <c r="G7" s="16"/>
      <c r="H7" s="16" t="s">
        <v>300</v>
      </c>
      <c r="I7" s="14"/>
      <c r="J7" s="16"/>
      <c r="K7" s="17"/>
      <c r="L7" s="267"/>
    </row>
    <row r="8" spans="1:15" ht="21" customHeight="1" thickTop="1">
      <c r="B8" s="1603"/>
      <c r="C8" s="1603"/>
      <c r="D8" s="1603"/>
      <c r="E8" s="1604"/>
      <c r="F8" s="575"/>
      <c r="G8" s="575"/>
      <c r="H8" s="575"/>
      <c r="I8" s="575"/>
      <c r="J8" s="575"/>
      <c r="K8" s="575"/>
      <c r="L8" s="320">
        <f>+F8+G8+H8-I8+J8-K8</f>
        <v>0</v>
      </c>
      <c r="M8" s="711"/>
    </row>
    <row r="9" spans="1:15" ht="21" customHeight="1">
      <c r="B9" s="1496" t="s">
        <v>3912</v>
      </c>
      <c r="C9" s="1496"/>
      <c r="D9" s="1496"/>
      <c r="E9" s="1496"/>
      <c r="F9" s="575">
        <v>55</v>
      </c>
      <c r="G9" s="575">
        <v>6500</v>
      </c>
      <c r="H9" s="575"/>
      <c r="I9" s="575">
        <v>6490</v>
      </c>
      <c r="J9" s="575"/>
      <c r="K9" s="575"/>
      <c r="L9" s="320">
        <f t="shared" ref="L9:L26" si="0">+F9+G9+H9-I9+J9-K9</f>
        <v>65</v>
      </c>
      <c r="M9" s="713"/>
    </row>
    <row r="10" spans="1:15" ht="21" customHeight="1">
      <c r="B10" s="1496" t="s">
        <v>3913</v>
      </c>
      <c r="C10" s="1496"/>
      <c r="D10" s="1496"/>
      <c r="E10" s="1496"/>
      <c r="F10" s="575">
        <v>1158.81</v>
      </c>
      <c r="G10" s="575"/>
      <c r="H10" s="575"/>
      <c r="I10" s="575">
        <v>0</v>
      </c>
      <c r="J10" s="575"/>
      <c r="K10" s="575"/>
      <c r="L10" s="320">
        <f t="shared" si="0"/>
        <v>1158.81</v>
      </c>
      <c r="M10" s="325"/>
    </row>
    <row r="11" spans="1:15" s="322" customFormat="1" ht="21" customHeight="1">
      <c r="B11" s="1496" t="s">
        <v>3914</v>
      </c>
      <c r="C11" s="1496"/>
      <c r="D11" s="1496"/>
      <c r="E11" s="1496"/>
      <c r="F11" s="575">
        <v>66199.55</v>
      </c>
      <c r="G11" s="575"/>
      <c r="H11" s="575"/>
      <c r="I11" s="575">
        <v>1875</v>
      </c>
      <c r="J11" s="575"/>
      <c r="K11" s="575"/>
      <c r="L11" s="320">
        <f t="shared" si="0"/>
        <v>64324.55</v>
      </c>
      <c r="M11" s="325"/>
      <c r="O11" s="377"/>
    </row>
    <row r="12" spans="1:15" ht="21" customHeight="1">
      <c r="B12" s="1496" t="s">
        <v>3915</v>
      </c>
      <c r="C12" s="1496"/>
      <c r="D12" s="1496"/>
      <c r="E12" s="1496"/>
      <c r="F12" s="575">
        <v>0</v>
      </c>
      <c r="G12" s="575"/>
      <c r="H12" s="575">
        <v>5500</v>
      </c>
      <c r="I12" s="575">
        <v>0</v>
      </c>
      <c r="J12" s="575"/>
      <c r="K12" s="575"/>
      <c r="L12" s="320">
        <f t="shared" si="0"/>
        <v>5500</v>
      </c>
      <c r="M12" s="325"/>
    </row>
    <row r="13" spans="1:15" ht="21" customHeight="1">
      <c r="B13" s="1496" t="s">
        <v>3916</v>
      </c>
      <c r="C13" s="1496"/>
      <c r="D13" s="1496"/>
      <c r="E13" s="1496"/>
      <c r="F13" s="575">
        <v>64006.969999999994</v>
      </c>
      <c r="G13" s="575">
        <v>61249.14</v>
      </c>
      <c r="H13" s="575"/>
      <c r="I13" s="575">
        <v>70790.939999999988</v>
      </c>
      <c r="J13" s="575"/>
      <c r="K13" s="575"/>
      <c r="L13" s="320">
        <f t="shared" si="0"/>
        <v>54465.17</v>
      </c>
      <c r="M13" s="325"/>
    </row>
    <row r="14" spans="1:15" s="322" customFormat="1" ht="21" customHeight="1">
      <c r="B14" s="1496" t="s">
        <v>3917</v>
      </c>
      <c r="C14" s="1496"/>
      <c r="D14" s="1496"/>
      <c r="E14" s="1496"/>
      <c r="F14" s="575">
        <v>121909.4</v>
      </c>
      <c r="G14" s="575"/>
      <c r="H14" s="575">
        <v>80941.919999999998</v>
      </c>
      <c r="I14" s="575">
        <v>92963.63</v>
      </c>
      <c r="J14" s="575"/>
      <c r="K14" s="575"/>
      <c r="L14" s="320">
        <f t="shared" si="0"/>
        <v>109887.69</v>
      </c>
      <c r="M14" s="325"/>
    </row>
    <row r="15" spans="1:15" ht="21" customHeight="1">
      <c r="A15" s="1576" t="s">
        <v>298</v>
      </c>
      <c r="B15" s="1496" t="s">
        <v>3918</v>
      </c>
      <c r="C15" s="1496"/>
      <c r="D15" s="1496"/>
      <c r="E15" s="1496"/>
      <c r="F15" s="575">
        <v>50073.63</v>
      </c>
      <c r="G15" s="575">
        <v>53318.75</v>
      </c>
      <c r="H15" s="575"/>
      <c r="I15" s="575">
        <v>92230.8</v>
      </c>
      <c r="J15" s="575"/>
      <c r="K15" s="575"/>
      <c r="L15" s="320">
        <f t="shared" si="0"/>
        <v>11161.580000000002</v>
      </c>
      <c r="M15" s="325"/>
    </row>
    <row r="16" spans="1:15" ht="21" customHeight="1">
      <c r="A16" s="1576"/>
      <c r="B16" s="1496" t="s">
        <v>3919</v>
      </c>
      <c r="C16" s="1496"/>
      <c r="D16" s="1496"/>
      <c r="E16" s="1496"/>
      <c r="F16" s="575">
        <v>0.05</v>
      </c>
      <c r="G16" s="575"/>
      <c r="H16" s="575"/>
      <c r="I16" s="575">
        <v>0</v>
      </c>
      <c r="J16" s="575"/>
      <c r="K16" s="575"/>
      <c r="L16" s="320">
        <f t="shared" si="0"/>
        <v>0.05</v>
      </c>
      <c r="M16" s="325"/>
    </row>
    <row r="17" spans="1:13" ht="21" customHeight="1">
      <c r="B17" s="1496" t="s">
        <v>3920</v>
      </c>
      <c r="C17" s="1496"/>
      <c r="D17" s="1496"/>
      <c r="E17" s="1496"/>
      <c r="F17" s="575">
        <v>120276.32</v>
      </c>
      <c r="G17" s="575"/>
      <c r="H17" s="575"/>
      <c r="I17" s="575">
        <v>17932.91</v>
      </c>
      <c r="J17" s="575"/>
      <c r="K17" s="575"/>
      <c r="L17" s="320">
        <f t="shared" si="0"/>
        <v>102343.41</v>
      </c>
      <c r="M17" s="325"/>
    </row>
    <row r="18" spans="1:13" ht="21" customHeight="1">
      <c r="A18" s="329"/>
      <c r="B18" s="1496" t="s">
        <v>3908</v>
      </c>
      <c r="C18" s="1496"/>
      <c r="D18" s="1496"/>
      <c r="E18" s="1496"/>
      <c r="F18" s="575">
        <v>36041.4</v>
      </c>
      <c r="G18" s="575"/>
      <c r="H18" s="575"/>
      <c r="I18" s="575">
        <v>36041.4</v>
      </c>
      <c r="J18" s="575"/>
      <c r="K18" s="575"/>
      <c r="L18" s="320">
        <f t="shared" si="0"/>
        <v>0</v>
      </c>
      <c r="M18" s="325"/>
    </row>
    <row r="19" spans="1:13" ht="21" customHeight="1">
      <c r="A19" s="329"/>
      <c r="B19" s="1496" t="s">
        <v>3911</v>
      </c>
      <c r="C19" s="1496"/>
      <c r="D19" s="1496"/>
      <c r="E19" s="1496"/>
      <c r="F19" s="575">
        <v>2600</v>
      </c>
      <c r="G19" s="575"/>
      <c r="H19" s="575"/>
      <c r="I19" s="575">
        <v>0</v>
      </c>
      <c r="J19" s="575"/>
      <c r="K19" s="575"/>
      <c r="L19" s="320">
        <f t="shared" si="0"/>
        <v>2600</v>
      </c>
      <c r="M19" s="325"/>
    </row>
    <row r="20" spans="1:13" ht="21" customHeight="1">
      <c r="B20" s="1496" t="s">
        <v>3921</v>
      </c>
      <c r="C20" s="1496"/>
      <c r="D20" s="1496"/>
      <c r="E20" s="1496"/>
      <c r="F20" s="575">
        <v>250</v>
      </c>
      <c r="G20" s="575"/>
      <c r="H20" s="575"/>
      <c r="I20" s="575">
        <v>0</v>
      </c>
      <c r="J20" s="575"/>
      <c r="K20" s="575"/>
      <c r="L20" s="320">
        <f t="shared" si="0"/>
        <v>250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462571.13</v>
      </c>
      <c r="G27" s="332">
        <f>SUM(G8:G26)</f>
        <v>121067.89</v>
      </c>
      <c r="H27" s="332">
        <f t="shared" si="1"/>
        <v>86441.919999999998</v>
      </c>
      <c r="I27" s="332">
        <f t="shared" si="1"/>
        <v>318324.68</v>
      </c>
      <c r="J27" s="332">
        <f t="shared" si="1"/>
        <v>0</v>
      </c>
      <c r="K27" s="332">
        <f t="shared" si="1"/>
        <v>0</v>
      </c>
      <c r="L27" s="317">
        <f>SUM(L8:L26)</f>
        <v>351756.26</v>
      </c>
    </row>
    <row r="28" spans="1:13" ht="13.8"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mergeCells count="13">
    <mergeCell ref="B26:E26"/>
    <mergeCell ref="B21:E21"/>
    <mergeCell ref="B22:E22"/>
    <mergeCell ref="B23:E23"/>
    <mergeCell ref="B24:E24"/>
    <mergeCell ref="B25:E25"/>
    <mergeCell ref="A15:A16"/>
    <mergeCell ref="B2:L2"/>
    <mergeCell ref="B3:L3"/>
    <mergeCell ref="B5:E5"/>
    <mergeCell ref="G4:H4"/>
    <mergeCell ref="G5:H5"/>
    <mergeCell ref="B8:E8"/>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O34"/>
  <sheetViews>
    <sheetView zoomScaleNormal="100" workbookViewId="0">
      <selection activeCell="F27" sqref="F27"/>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 Grants Approp Rsrv'!F27</f>
        <v>462571.13</v>
      </c>
      <c r="G8" s="1031">
        <f>+'11 Grants Approp Rsrv'!G27</f>
        <v>121067.89</v>
      </c>
      <c r="H8" s="1031">
        <f>+'11 Grants Approp Rsrv'!H27</f>
        <v>86441.919999999998</v>
      </c>
      <c r="I8" s="1031">
        <f>+'11 Grants Approp Rsrv'!I27</f>
        <v>318324.68</v>
      </c>
      <c r="J8" s="1031">
        <f>+'11 Grants Approp Rsrv'!J27</f>
        <v>0</v>
      </c>
      <c r="K8" s="1031">
        <f>+'11 Grants Approp Rsrv'!K27</f>
        <v>0</v>
      </c>
      <c r="L8" s="1032">
        <f>+'11 Grants Approp Rsrv'!L27</f>
        <v>351756.26</v>
      </c>
      <c r="M8" s="711"/>
    </row>
    <row r="9" spans="1:15" ht="21" customHeight="1">
      <c r="B9" s="1607"/>
      <c r="C9" s="1607"/>
      <c r="D9" s="1607"/>
      <c r="E9" s="1608"/>
      <c r="F9" s="372"/>
      <c r="G9" s="372"/>
      <c r="H9" s="372"/>
      <c r="I9" s="372"/>
      <c r="J9" s="372"/>
      <c r="K9" s="372"/>
      <c r="L9" s="320">
        <f t="shared" ref="L9:L26" si="0">+F9+G9+H9-I9+J9-K9</f>
        <v>0</v>
      </c>
      <c r="M9" s="713"/>
    </row>
    <row r="10" spans="1:15" ht="21" customHeight="1">
      <c r="B10" s="1496" t="s">
        <v>3922</v>
      </c>
      <c r="C10" s="1496"/>
      <c r="D10" s="1496"/>
      <c r="E10" s="1496"/>
      <c r="F10" s="372">
        <v>400</v>
      </c>
      <c r="G10" s="372"/>
      <c r="H10" s="372"/>
      <c r="I10" s="372">
        <v>0</v>
      </c>
      <c r="J10" s="372"/>
      <c r="K10" s="372"/>
      <c r="L10" s="320">
        <f t="shared" si="0"/>
        <v>400</v>
      </c>
      <c r="M10" s="325"/>
    </row>
    <row r="11" spans="1:15" ht="21" customHeight="1">
      <c r="B11" s="1496" t="s">
        <v>3909</v>
      </c>
      <c r="C11" s="1496"/>
      <c r="D11" s="1496"/>
      <c r="E11" s="1496"/>
      <c r="F11" s="372">
        <v>14000</v>
      </c>
      <c r="G11" s="372"/>
      <c r="H11" s="372"/>
      <c r="I11" s="372">
        <v>0</v>
      </c>
      <c r="J11" s="372"/>
      <c r="K11" s="372"/>
      <c r="L11" s="320">
        <f t="shared" si="0"/>
        <v>14000</v>
      </c>
      <c r="M11" s="325"/>
      <c r="O11" s="377"/>
    </row>
    <row r="12" spans="1:15" ht="21" customHeight="1">
      <c r="B12" s="1496" t="s">
        <v>3901</v>
      </c>
      <c r="C12" s="1496"/>
      <c r="D12" s="1496"/>
      <c r="E12" s="1496"/>
      <c r="F12" s="372">
        <v>21672.16</v>
      </c>
      <c r="G12" s="372">
        <v>8598.8799999999992</v>
      </c>
      <c r="H12" s="372"/>
      <c r="I12" s="372">
        <v>23716.36</v>
      </c>
      <c r="J12" s="372"/>
      <c r="K12" s="372"/>
      <c r="L12" s="320">
        <f t="shared" si="0"/>
        <v>6554.68</v>
      </c>
      <c r="M12" s="325"/>
    </row>
    <row r="13" spans="1:15" ht="21" customHeight="1">
      <c r="B13" s="1496" t="s">
        <v>3923</v>
      </c>
      <c r="C13" s="1496"/>
      <c r="D13" s="1496"/>
      <c r="E13" s="1496"/>
      <c r="F13" s="372">
        <v>97570</v>
      </c>
      <c r="G13" s="372"/>
      <c r="H13" s="372"/>
      <c r="I13" s="372">
        <v>56938.45</v>
      </c>
      <c r="J13" s="372"/>
      <c r="K13" s="372"/>
      <c r="L13" s="320">
        <f t="shared" si="0"/>
        <v>40631.550000000003</v>
      </c>
      <c r="M13" s="325"/>
    </row>
    <row r="14" spans="1:15" ht="21" customHeight="1">
      <c r="B14" s="1496" t="s">
        <v>3924</v>
      </c>
      <c r="C14" s="1496"/>
      <c r="D14" s="1496"/>
      <c r="E14" s="1496"/>
      <c r="F14" s="372">
        <v>0</v>
      </c>
      <c r="G14" s="372"/>
      <c r="H14" s="372"/>
      <c r="I14" s="372">
        <v>0</v>
      </c>
      <c r="J14" s="372"/>
      <c r="K14" s="372"/>
      <c r="L14" s="320">
        <f t="shared" si="0"/>
        <v>0</v>
      </c>
      <c r="M14" s="325"/>
    </row>
    <row r="15" spans="1:15" ht="21" customHeight="1">
      <c r="A15" s="1576" t="s">
        <v>3573</v>
      </c>
      <c r="B15" s="1496" t="s">
        <v>3902</v>
      </c>
      <c r="C15" s="1496"/>
      <c r="D15" s="1496"/>
      <c r="E15" s="1496"/>
      <c r="F15" s="372">
        <v>0</v>
      </c>
      <c r="G15" s="372">
        <v>4877</v>
      </c>
      <c r="H15" s="372"/>
      <c r="I15" s="372">
        <v>4577</v>
      </c>
      <c r="J15" s="372"/>
      <c r="K15" s="372"/>
      <c r="L15" s="320">
        <f t="shared" si="0"/>
        <v>300</v>
      </c>
      <c r="M15" s="325"/>
    </row>
    <row r="16" spans="1:15" ht="21" customHeight="1">
      <c r="A16" s="1576"/>
      <c r="B16" s="1496" t="s">
        <v>3898</v>
      </c>
      <c r="C16" s="1496"/>
      <c r="D16" s="1496"/>
      <c r="E16" s="1496"/>
      <c r="F16" s="372">
        <v>0</v>
      </c>
      <c r="G16" s="372">
        <v>750000</v>
      </c>
      <c r="H16" s="372"/>
      <c r="I16" s="372">
        <v>706595</v>
      </c>
      <c r="J16" s="372"/>
      <c r="K16" s="372"/>
      <c r="L16" s="320">
        <f t="shared" si="0"/>
        <v>43405</v>
      </c>
      <c r="M16" s="325"/>
    </row>
    <row r="17" spans="1:13" ht="21" customHeight="1">
      <c r="B17" s="1496" t="s">
        <v>3925</v>
      </c>
      <c r="C17" s="1496"/>
      <c r="D17" s="1496"/>
      <c r="E17" s="1496"/>
      <c r="F17" s="372">
        <v>0</v>
      </c>
      <c r="G17" s="372"/>
      <c r="H17" s="372"/>
      <c r="I17" s="372">
        <v>0</v>
      </c>
      <c r="J17" s="372"/>
      <c r="K17" s="372"/>
      <c r="L17" s="320">
        <f t="shared" si="0"/>
        <v>0</v>
      </c>
      <c r="M17" s="325"/>
    </row>
    <row r="18" spans="1:13" ht="21" customHeight="1">
      <c r="A18" s="759"/>
      <c r="B18" s="1502" t="s">
        <v>3926</v>
      </c>
      <c r="C18" s="1502"/>
      <c r="D18" s="1502"/>
      <c r="E18" s="1502"/>
      <c r="F18" s="372">
        <v>1191.43</v>
      </c>
      <c r="G18" s="372"/>
      <c r="H18" s="372"/>
      <c r="I18" s="372">
        <v>0</v>
      </c>
      <c r="J18" s="372"/>
      <c r="K18" s="372"/>
      <c r="L18" s="320">
        <f t="shared" si="0"/>
        <v>1191.43</v>
      </c>
      <c r="M18" s="325"/>
    </row>
    <row r="19" spans="1:13" ht="21" customHeight="1">
      <c r="A19" s="759"/>
      <c r="B19" s="1496" t="s">
        <v>3927</v>
      </c>
      <c r="C19" s="1496"/>
      <c r="D19" s="1496"/>
      <c r="E19" s="1496"/>
      <c r="F19" s="372">
        <v>25000</v>
      </c>
      <c r="G19" s="372"/>
      <c r="H19" s="372">
        <v>60000</v>
      </c>
      <c r="I19" s="372">
        <v>0</v>
      </c>
      <c r="J19" s="372"/>
      <c r="K19" s="372"/>
      <c r="L19" s="320">
        <f t="shared" si="0"/>
        <v>85000</v>
      </c>
      <c r="M19" s="325"/>
    </row>
    <row r="20" spans="1:13" ht="21" customHeight="1">
      <c r="B20" s="1496" t="s">
        <v>3928</v>
      </c>
      <c r="C20" s="1496"/>
      <c r="D20" s="1496"/>
      <c r="E20" s="1496"/>
      <c r="F20" s="372">
        <v>7800</v>
      </c>
      <c r="G20" s="372"/>
      <c r="H20" s="372"/>
      <c r="I20" s="372">
        <v>0</v>
      </c>
      <c r="J20" s="372"/>
      <c r="K20" s="372"/>
      <c r="L20" s="320">
        <f t="shared" si="0"/>
        <v>7800</v>
      </c>
      <c r="M20" s="325"/>
    </row>
    <row r="21" spans="1:13" ht="21" customHeight="1">
      <c r="B21" s="1496" t="s">
        <v>3929</v>
      </c>
      <c r="C21" s="1496"/>
      <c r="D21" s="1496"/>
      <c r="E21" s="1496"/>
      <c r="F21" s="372">
        <v>24000</v>
      </c>
      <c r="G21" s="372"/>
      <c r="H21" s="372"/>
      <c r="I21" s="372">
        <v>0</v>
      </c>
      <c r="J21" s="372"/>
      <c r="K21" s="372"/>
      <c r="L21" s="320">
        <f t="shared" si="0"/>
        <v>24000</v>
      </c>
      <c r="M21" s="325"/>
    </row>
    <row r="22" spans="1:13" ht="21" customHeight="1">
      <c r="B22" s="1503" t="s">
        <v>3930</v>
      </c>
      <c r="C22" s="1503"/>
      <c r="D22" s="1503"/>
      <c r="E22" s="1503"/>
      <c r="F22" s="372">
        <v>1070.98</v>
      </c>
      <c r="G22" s="372"/>
      <c r="H22" s="372"/>
      <c r="I22" s="372">
        <v>0</v>
      </c>
      <c r="J22" s="372"/>
      <c r="K22" s="372"/>
      <c r="L22" s="320">
        <f t="shared" si="0"/>
        <v>1070.98</v>
      </c>
      <c r="M22" s="325"/>
    </row>
    <row r="23" spans="1:13" ht="21" customHeight="1">
      <c r="B23" s="1607"/>
      <c r="C23" s="1607"/>
      <c r="D23" s="1607"/>
      <c r="E23" s="1608"/>
      <c r="F23" s="372"/>
      <c r="G23" s="372"/>
      <c r="H23" s="372"/>
      <c r="I23" s="372"/>
      <c r="J23" s="372"/>
      <c r="K23" s="372"/>
      <c r="L23" s="320">
        <f t="shared" si="0"/>
        <v>0</v>
      </c>
      <c r="M23" s="325"/>
    </row>
    <row r="24" spans="1:13" ht="21" customHeight="1">
      <c r="B24" s="1607"/>
      <c r="C24" s="1607"/>
      <c r="D24" s="1607"/>
      <c r="E24" s="1608"/>
      <c r="F24" s="372"/>
      <c r="G24" s="372"/>
      <c r="H24" s="372"/>
      <c r="I24" s="372"/>
      <c r="J24" s="372"/>
      <c r="K24" s="372"/>
      <c r="L24" s="320">
        <f t="shared" si="0"/>
        <v>0</v>
      </c>
      <c r="M24" s="325"/>
    </row>
    <row r="25" spans="1:13" ht="21" customHeight="1">
      <c r="B25" s="1607"/>
      <c r="C25" s="1607"/>
      <c r="D25" s="1607"/>
      <c r="E25" s="1608"/>
      <c r="F25" s="372"/>
      <c r="G25" s="372"/>
      <c r="H25" s="372"/>
      <c r="I25" s="372"/>
      <c r="J25" s="372"/>
      <c r="K25" s="372"/>
      <c r="L25" s="320">
        <f t="shared" si="0"/>
        <v>0</v>
      </c>
      <c r="M25" s="325"/>
    </row>
    <row r="26" spans="1:13" ht="21" customHeight="1">
      <c r="B26" s="1607"/>
      <c r="C26" s="1607"/>
      <c r="D26" s="1607"/>
      <c r="E26" s="1608"/>
      <c r="F26" s="372"/>
      <c r="G26" s="372"/>
      <c r="H26" s="372"/>
      <c r="I26" s="372"/>
      <c r="J26" s="372"/>
      <c r="K26" s="372"/>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mergeCells count="11">
    <mergeCell ref="B23:E23"/>
    <mergeCell ref="B24:E24"/>
    <mergeCell ref="B25:E25"/>
    <mergeCell ref="B26:E26"/>
    <mergeCell ref="A15:A16"/>
    <mergeCell ref="B9:E9"/>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 Grants Approp Rsrv'!F27</f>
        <v>655275.70000000007</v>
      </c>
      <c r="G8" s="1031">
        <f>+'11.1 Grants Approp Rsrv'!G27</f>
        <v>884543.77</v>
      </c>
      <c r="H8" s="1031">
        <f>+'11.1 Grants Approp Rsrv'!H27</f>
        <v>146441.91999999998</v>
      </c>
      <c r="I8" s="1031">
        <f>+'11.1 Grants Approp Rsrv'!I27</f>
        <v>1110151.49</v>
      </c>
      <c r="J8" s="1031">
        <f>+'11.1 Grants Approp Rsrv'!J27</f>
        <v>0</v>
      </c>
      <c r="K8" s="1031">
        <f>+'11.1 Grants Approp Rsrv'!K27</f>
        <v>0</v>
      </c>
      <c r="L8" s="1032">
        <f>+'11.1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3574</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 Grants Approp Rsrv'!F27</f>
        <v>655275.70000000007</v>
      </c>
      <c r="G8" s="1031">
        <f>+'11.2 Grants Approp Rsrv'!G27</f>
        <v>884543.77</v>
      </c>
      <c r="H8" s="1031">
        <f>+'11.2 Grants Approp Rsrv'!H27</f>
        <v>146441.91999999998</v>
      </c>
      <c r="I8" s="1031">
        <f>+'11.2 Grants Approp Rsrv'!I27</f>
        <v>1110151.49</v>
      </c>
      <c r="J8" s="1031">
        <f>+'11.2 Grants Approp Rsrv'!J27</f>
        <v>0</v>
      </c>
      <c r="K8" s="1031">
        <f>+'11.2 Grants Approp Rsrv'!K27</f>
        <v>0</v>
      </c>
      <c r="L8" s="1032">
        <f>+'11.2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3575</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 Grants Approp Rsrv'!F27</f>
        <v>655275.70000000007</v>
      </c>
      <c r="G8" s="1031">
        <f>+'11.3 Grants Approp Rsrv'!G27</f>
        <v>884543.77</v>
      </c>
      <c r="H8" s="1031">
        <f>+'11.3 Grants Approp Rsrv'!H27</f>
        <v>146441.91999999998</v>
      </c>
      <c r="I8" s="1031">
        <f>+'11.3 Grants Approp Rsrv'!I27</f>
        <v>1110151.49</v>
      </c>
      <c r="J8" s="1031">
        <f>+'11.3 Grants Approp Rsrv'!J27</f>
        <v>0</v>
      </c>
      <c r="K8" s="1031">
        <f>+'11.3 Grants Approp Rsrv'!K27</f>
        <v>0</v>
      </c>
      <c r="L8" s="1032">
        <f>+'11.3 Grants Approp Rsrv'!L27</f>
        <v>576109.89999999991</v>
      </c>
      <c r="M8" s="711"/>
    </row>
    <row r="9" spans="1:15" ht="21" customHeight="1">
      <c r="B9" s="1607"/>
      <c r="C9" s="1607"/>
      <c r="D9" s="1607"/>
      <c r="E9" s="1608"/>
      <c r="F9" s="575"/>
      <c r="G9" s="575"/>
      <c r="H9" s="575"/>
      <c r="I9" s="575"/>
      <c r="J9" s="575"/>
      <c r="K9" s="575"/>
      <c r="L9" s="320">
        <f t="shared" ref="L9:L26" si="0">+F9+G9+H9-I9+J9-K9</f>
        <v>0</v>
      </c>
      <c r="M9" s="713"/>
    </row>
    <row r="10" spans="1:15" ht="21" customHeight="1">
      <c r="B10" s="1607"/>
      <c r="C10" s="1607"/>
      <c r="D10" s="1607"/>
      <c r="E10" s="1608"/>
      <c r="F10" s="575"/>
      <c r="G10" s="575"/>
      <c r="H10" s="575"/>
      <c r="I10" s="575"/>
      <c r="J10" s="575"/>
      <c r="K10" s="575"/>
      <c r="L10" s="320">
        <f t="shared" si="0"/>
        <v>0</v>
      </c>
      <c r="M10" s="325"/>
    </row>
    <row r="11" spans="1:15" ht="21" customHeight="1">
      <c r="B11" s="1607"/>
      <c r="C11" s="1607"/>
      <c r="D11" s="1607"/>
      <c r="E11" s="1608"/>
      <c r="F11" s="575"/>
      <c r="G11" s="575"/>
      <c r="H11" s="575"/>
      <c r="I11" s="575"/>
      <c r="J11" s="575"/>
      <c r="K11" s="575"/>
      <c r="L11" s="320">
        <f t="shared" si="0"/>
        <v>0</v>
      </c>
      <c r="M11" s="325"/>
      <c r="O11" s="377"/>
    </row>
    <row r="12" spans="1:15" ht="21" customHeight="1">
      <c r="B12" s="1607"/>
      <c r="C12" s="1607"/>
      <c r="D12" s="1607"/>
      <c r="E12" s="1608"/>
      <c r="F12" s="575"/>
      <c r="G12" s="575"/>
      <c r="H12" s="575"/>
      <c r="I12" s="575"/>
      <c r="J12" s="575"/>
      <c r="K12" s="575"/>
      <c r="L12" s="320">
        <f t="shared" si="0"/>
        <v>0</v>
      </c>
      <c r="M12" s="325"/>
    </row>
    <row r="13" spans="1:15" ht="21" customHeight="1">
      <c r="B13" s="1607"/>
      <c r="C13" s="1607"/>
      <c r="D13" s="1607"/>
      <c r="E13" s="1608"/>
      <c r="F13" s="575"/>
      <c r="G13" s="575"/>
      <c r="H13" s="575"/>
      <c r="I13" s="575"/>
      <c r="J13" s="575"/>
      <c r="K13" s="575"/>
      <c r="L13" s="320">
        <f t="shared" si="0"/>
        <v>0</v>
      </c>
      <c r="M13" s="325"/>
    </row>
    <row r="14" spans="1:15" ht="21" customHeight="1">
      <c r="B14" s="1607"/>
      <c r="C14" s="1607"/>
      <c r="D14" s="1607"/>
      <c r="E14" s="1608"/>
      <c r="F14" s="575"/>
      <c r="G14" s="575"/>
      <c r="H14" s="575"/>
      <c r="I14" s="575"/>
      <c r="J14" s="575"/>
      <c r="K14" s="575"/>
      <c r="L14" s="320">
        <f t="shared" si="0"/>
        <v>0</v>
      </c>
      <c r="M14" s="325"/>
    </row>
    <row r="15" spans="1:15" ht="21" customHeight="1">
      <c r="A15" s="1576" t="s">
        <v>3576</v>
      </c>
      <c r="B15" s="1607"/>
      <c r="C15" s="1607"/>
      <c r="D15" s="1607"/>
      <c r="E15" s="1608"/>
      <c r="F15" s="575"/>
      <c r="G15" s="575"/>
      <c r="H15" s="575"/>
      <c r="I15" s="575"/>
      <c r="J15" s="575"/>
      <c r="K15" s="575"/>
      <c r="L15" s="320">
        <f t="shared" si="0"/>
        <v>0</v>
      </c>
      <c r="M15" s="325"/>
    </row>
    <row r="16" spans="1:15" ht="21" customHeight="1">
      <c r="A16" s="1576"/>
      <c r="B16" s="1607"/>
      <c r="C16" s="1607"/>
      <c r="D16" s="1607"/>
      <c r="E16" s="1608"/>
      <c r="F16" s="575"/>
      <c r="G16" s="575"/>
      <c r="H16" s="575"/>
      <c r="I16" s="575"/>
      <c r="J16" s="575"/>
      <c r="K16" s="575"/>
      <c r="L16" s="320">
        <f t="shared" si="0"/>
        <v>0</v>
      </c>
      <c r="M16" s="325"/>
    </row>
    <row r="17" spans="1:13" ht="21" customHeight="1">
      <c r="B17" s="1607"/>
      <c r="C17" s="1607"/>
      <c r="D17" s="1607"/>
      <c r="E17" s="1608"/>
      <c r="F17" s="575"/>
      <c r="G17" s="575"/>
      <c r="H17" s="575"/>
      <c r="I17" s="575"/>
      <c r="J17" s="575"/>
      <c r="K17" s="575"/>
      <c r="L17" s="320">
        <f t="shared" si="0"/>
        <v>0</v>
      </c>
      <c r="M17" s="325"/>
    </row>
    <row r="18" spans="1:13" ht="21" customHeight="1">
      <c r="A18" s="759"/>
      <c r="B18" s="1607"/>
      <c r="C18" s="1607"/>
      <c r="D18" s="1607"/>
      <c r="E18" s="1608"/>
      <c r="F18" s="575"/>
      <c r="G18" s="575"/>
      <c r="H18" s="575"/>
      <c r="I18" s="575"/>
      <c r="J18" s="575"/>
      <c r="K18" s="575"/>
      <c r="L18" s="320">
        <f t="shared" si="0"/>
        <v>0</v>
      </c>
      <c r="M18" s="325"/>
    </row>
    <row r="19" spans="1:13" ht="21" customHeight="1">
      <c r="A19" s="759"/>
      <c r="B19" s="1607"/>
      <c r="C19" s="1607"/>
      <c r="D19" s="1607"/>
      <c r="E19" s="1608"/>
      <c r="F19" s="575"/>
      <c r="G19" s="575"/>
      <c r="H19" s="575"/>
      <c r="I19" s="575"/>
      <c r="J19" s="575"/>
      <c r="K19" s="575"/>
      <c r="L19" s="320">
        <f t="shared" si="0"/>
        <v>0</v>
      </c>
      <c r="M19" s="325"/>
    </row>
    <row r="20" spans="1:13" ht="21" customHeight="1">
      <c r="B20" s="1607"/>
      <c r="C20" s="1607"/>
      <c r="D20" s="1607"/>
      <c r="E20" s="1608"/>
      <c r="F20" s="575"/>
      <c r="G20" s="575"/>
      <c r="H20" s="575"/>
      <c r="I20" s="575"/>
      <c r="J20" s="575"/>
      <c r="K20" s="575"/>
      <c r="L20" s="320">
        <f t="shared" si="0"/>
        <v>0</v>
      </c>
      <c r="M20" s="325"/>
    </row>
    <row r="21" spans="1:13" ht="21" customHeight="1">
      <c r="B21" s="1607"/>
      <c r="C21" s="1607"/>
      <c r="D21" s="1607"/>
      <c r="E21" s="1608"/>
      <c r="F21" s="575"/>
      <c r="G21" s="575"/>
      <c r="H21" s="575"/>
      <c r="I21" s="575"/>
      <c r="J21" s="575"/>
      <c r="K21" s="575"/>
      <c r="L21" s="320">
        <f t="shared" si="0"/>
        <v>0</v>
      </c>
      <c r="M21" s="325"/>
    </row>
    <row r="22" spans="1:13" ht="21" customHeight="1">
      <c r="B22" s="1607"/>
      <c r="C22" s="1607"/>
      <c r="D22" s="1607"/>
      <c r="E22" s="1608"/>
      <c r="F22" s="575"/>
      <c r="G22" s="575"/>
      <c r="H22" s="575"/>
      <c r="I22" s="575"/>
      <c r="J22" s="575"/>
      <c r="K22" s="575"/>
      <c r="L22" s="320">
        <f t="shared" si="0"/>
        <v>0</v>
      </c>
      <c r="M22" s="325"/>
    </row>
    <row r="23" spans="1:13" ht="21" customHeight="1">
      <c r="B23" s="1607"/>
      <c r="C23" s="1607"/>
      <c r="D23" s="1607"/>
      <c r="E23" s="1608"/>
      <c r="F23" s="575"/>
      <c r="G23" s="575"/>
      <c r="H23" s="575"/>
      <c r="I23" s="575"/>
      <c r="J23" s="575"/>
      <c r="K23" s="575"/>
      <c r="L23" s="320">
        <f t="shared" si="0"/>
        <v>0</v>
      </c>
      <c r="M23" s="325"/>
    </row>
    <row r="24" spans="1:13" ht="21" customHeight="1">
      <c r="B24" s="1607"/>
      <c r="C24" s="1607"/>
      <c r="D24" s="1607"/>
      <c r="E24" s="1608"/>
      <c r="F24" s="575"/>
      <c r="G24" s="575"/>
      <c r="H24" s="575"/>
      <c r="I24" s="575"/>
      <c r="J24" s="575"/>
      <c r="K24" s="575"/>
      <c r="L24" s="320">
        <f t="shared" si="0"/>
        <v>0</v>
      </c>
      <c r="M24" s="325"/>
    </row>
    <row r="25" spans="1:13" ht="21" customHeight="1">
      <c r="B25" s="1607"/>
      <c r="C25" s="1607"/>
      <c r="D25" s="1607"/>
      <c r="E25" s="1608"/>
      <c r="F25" s="575"/>
      <c r="G25" s="575"/>
      <c r="H25" s="575"/>
      <c r="I25" s="575"/>
      <c r="J25" s="575"/>
      <c r="K25" s="575"/>
      <c r="L25" s="320">
        <f t="shared" si="0"/>
        <v>0</v>
      </c>
      <c r="M25" s="325"/>
    </row>
    <row r="26" spans="1:13" ht="21" customHeight="1">
      <c r="B26" s="1607"/>
      <c r="C26" s="1607"/>
      <c r="D26" s="1607"/>
      <c r="E26" s="1608"/>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+'11.4 Grants Approp Rsrv'!F27</f>
        <v>655275.70000000007</v>
      </c>
      <c r="G8" s="1031">
        <f>+'11.4 Grants Approp Rsrv'!G27</f>
        <v>884543.77</v>
      </c>
      <c r="H8" s="1031">
        <f>+'11.4 Grants Approp Rsrv'!H27</f>
        <v>146441.91999999998</v>
      </c>
      <c r="I8" s="1031">
        <f>+'11.4 Grants Approp Rsrv'!I27</f>
        <v>1110151.49</v>
      </c>
      <c r="J8" s="1031">
        <f>+'11.4 Grants Approp Rsrv'!J27</f>
        <v>0</v>
      </c>
      <c r="K8" s="1031">
        <f>+'11.4 Grants Approp Rsrv'!K27</f>
        <v>0</v>
      </c>
      <c r="L8" s="1032">
        <f>+'11.4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3577</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+'11.5 Grants Approp Rsrv'!F27</f>
        <v>655275.70000000007</v>
      </c>
      <c r="G8" s="1031">
        <f>+'11.5 Grants Approp Rsrv'!G27</f>
        <v>884543.77</v>
      </c>
      <c r="H8" s="1031">
        <f>+'11.5 Grants Approp Rsrv'!H27</f>
        <v>146441.91999999998</v>
      </c>
      <c r="I8" s="1031">
        <f>+'11.5 Grants Approp Rsrv'!I27</f>
        <v>1110151.49</v>
      </c>
      <c r="J8" s="1031">
        <f>+'11.5 Grants Approp Rsrv'!J27</f>
        <v>0</v>
      </c>
      <c r="K8" s="1031">
        <f>+'11.5 Grants Approp Rsrv'!K27</f>
        <v>0</v>
      </c>
      <c r="L8" s="1032">
        <f>+'11.5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3578</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+'11.6 Grants Approp Rsrv'!F27</f>
        <v>655275.70000000007</v>
      </c>
      <c r="G8" s="1031">
        <f>+'11.6 Grants Approp Rsrv'!G27</f>
        <v>884543.77</v>
      </c>
      <c r="H8" s="1031">
        <f>+'11.6 Grants Approp Rsrv'!H27</f>
        <v>146441.91999999998</v>
      </c>
      <c r="I8" s="1031">
        <f>+'11.6 Grants Approp Rsrv'!I27</f>
        <v>1110151.49</v>
      </c>
      <c r="J8" s="1031">
        <f>+'11.6 Grants Approp Rsrv'!J27</f>
        <v>0</v>
      </c>
      <c r="K8" s="1031">
        <f>+'11.6 Grants Approp Rsrv'!K27</f>
        <v>0</v>
      </c>
      <c r="L8" s="1032">
        <f>+'11.6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3579</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+'11.7 Grants Approp Rsrv'!F27</f>
        <v>655275.70000000007</v>
      </c>
      <c r="G8" s="1031">
        <f>+'11.7 Grants Approp Rsrv'!G27</f>
        <v>884543.77</v>
      </c>
      <c r="H8" s="1031">
        <f>+'11.7 Grants Approp Rsrv'!H27</f>
        <v>146441.91999999998</v>
      </c>
      <c r="I8" s="1031">
        <f>+'11.7 Grants Approp Rsrv'!I27</f>
        <v>1110151.49</v>
      </c>
      <c r="J8" s="1031">
        <f>+'11.7 Grants Approp Rsrv'!J27</f>
        <v>0</v>
      </c>
      <c r="K8" s="1031">
        <f>+'11.7 Grants Approp Rsrv'!K27</f>
        <v>0</v>
      </c>
      <c r="L8" s="1032">
        <f>+'11.7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3580</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C4:P66"/>
  <sheetViews>
    <sheetView topLeftCell="A7" zoomScaleNormal="100" workbookViewId="0">
      <selection activeCell="B1" sqref="B1"/>
    </sheetView>
  </sheetViews>
  <sheetFormatPr defaultRowHeight="13.2"/>
  <cols>
    <col min="1" max="5" width="4.6640625" customWidth="1"/>
    <col min="13" max="13" width="11.109375" customWidth="1"/>
  </cols>
  <sheetData>
    <row r="4" spans="3:13" ht="15.6">
      <c r="C4" s="1542" t="s">
        <v>821</v>
      </c>
      <c r="D4" s="1542"/>
      <c r="E4" s="1542"/>
      <c r="F4" s="1542"/>
      <c r="G4" s="1542"/>
      <c r="H4" s="1542"/>
      <c r="I4" s="1542"/>
      <c r="J4" s="1542"/>
      <c r="K4" s="1542"/>
      <c r="L4" s="1542"/>
      <c r="M4" s="1542"/>
    </row>
    <row r="5" spans="3:13" ht="15.6">
      <c r="C5" s="1542" t="s">
        <v>822</v>
      </c>
      <c r="D5" s="1542"/>
      <c r="E5" s="1542"/>
      <c r="F5" s="1542"/>
      <c r="G5" s="1542"/>
      <c r="H5" s="1542"/>
      <c r="I5" s="1542"/>
      <c r="J5" s="1542"/>
      <c r="K5" s="1542"/>
      <c r="L5" s="1542"/>
      <c r="M5" s="1542"/>
    </row>
    <row r="6" spans="3:13" ht="15.6">
      <c r="C6" s="1542" t="s">
        <v>823</v>
      </c>
      <c r="D6" s="1542"/>
      <c r="E6" s="1542"/>
      <c r="F6" s="1542"/>
      <c r="G6" s="1542"/>
      <c r="H6" s="1542"/>
      <c r="I6" s="1542"/>
      <c r="J6" s="1542"/>
      <c r="K6" s="1542"/>
      <c r="L6" s="1542"/>
      <c r="M6" s="1542"/>
    </row>
    <row r="9" spans="3:13">
      <c r="D9" s="171" t="s">
        <v>824</v>
      </c>
    </row>
    <row r="10" spans="3:13">
      <c r="D10" s="171" t="s">
        <v>825</v>
      </c>
    </row>
    <row r="11" spans="3:13" ht="13.8" thickBot="1"/>
    <row r="12" spans="3:13">
      <c r="C12" s="172"/>
      <c r="D12" s="173"/>
      <c r="E12" s="173"/>
      <c r="F12" s="173"/>
      <c r="G12" s="173"/>
      <c r="H12" s="173"/>
      <c r="I12" s="173"/>
      <c r="J12" s="173"/>
      <c r="K12" s="173"/>
      <c r="L12" s="173"/>
      <c r="M12" s="174"/>
    </row>
    <row r="13" spans="3:13">
      <c r="C13" s="175"/>
      <c r="D13" s="1538" t="s">
        <v>826</v>
      </c>
      <c r="E13" s="1538"/>
      <c r="F13" s="1538"/>
      <c r="G13" s="1538"/>
      <c r="H13" s="1538"/>
      <c r="I13" s="1538"/>
      <c r="J13" s="1538"/>
      <c r="K13" s="1538"/>
      <c r="L13" s="1538"/>
      <c r="M13" s="176"/>
    </row>
    <row r="14" spans="3:13">
      <c r="C14" s="175"/>
      <c r="D14" s="42"/>
      <c r="E14" s="42"/>
      <c r="F14" s="42"/>
      <c r="G14" s="42"/>
      <c r="H14" s="42"/>
      <c r="I14" s="42"/>
      <c r="J14" s="42"/>
      <c r="K14" s="42"/>
      <c r="L14" s="42"/>
      <c r="M14" s="176"/>
    </row>
    <row r="15" spans="3:13">
      <c r="C15" s="175"/>
      <c r="D15" s="177" t="s">
        <v>384</v>
      </c>
      <c r="E15" s="42"/>
      <c r="F15" s="42" t="s">
        <v>827</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829</v>
      </c>
      <c r="G17" s="42"/>
      <c r="H17" s="42"/>
      <c r="I17" s="42"/>
      <c r="J17" s="42"/>
      <c r="K17" s="42"/>
      <c r="L17" s="42"/>
      <c r="M17" s="176"/>
    </row>
    <row r="18" spans="3:16">
      <c r="C18" s="175"/>
      <c r="D18" s="177"/>
      <c r="E18" s="42"/>
      <c r="F18" s="42" t="s">
        <v>828</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797</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1041</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1042</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501</v>
      </c>
      <c r="E32" s="42"/>
      <c r="F32" s="42" t="s">
        <v>101</v>
      </c>
      <c r="G32" s="42"/>
      <c r="H32" s="42"/>
      <c r="I32" s="42"/>
      <c r="J32" s="42"/>
      <c r="K32" s="42"/>
      <c r="L32" s="42"/>
      <c r="M32" s="176"/>
    </row>
    <row r="33" spans="3:13">
      <c r="C33" s="175"/>
      <c r="D33" s="177"/>
      <c r="E33" s="42"/>
      <c r="F33" s="42" t="s">
        <v>608</v>
      </c>
      <c r="G33" s="42"/>
      <c r="H33" s="42"/>
      <c r="I33" s="42"/>
      <c r="J33" s="42"/>
      <c r="K33" s="42"/>
      <c r="L33" s="42"/>
      <c r="M33" s="176"/>
    </row>
    <row r="34" spans="3:13">
      <c r="C34" s="175"/>
      <c r="D34" s="177"/>
      <c r="E34" s="42"/>
      <c r="F34" s="42"/>
      <c r="G34" s="42"/>
      <c r="H34" s="42"/>
      <c r="I34" s="42"/>
      <c r="J34" s="42"/>
      <c r="K34" s="42"/>
      <c r="L34" s="42"/>
      <c r="M34" s="176"/>
    </row>
    <row r="35" spans="3:13">
      <c r="C35" s="175"/>
      <c r="D35" s="177" t="s">
        <v>502</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503</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961</v>
      </c>
      <c r="E40" s="42"/>
      <c r="F40" s="42"/>
      <c r="G40" s="42"/>
      <c r="H40" s="42"/>
      <c r="I40" s="42"/>
      <c r="J40" s="42"/>
      <c r="K40" s="42"/>
      <c r="L40" s="42"/>
      <c r="M40" s="176"/>
    </row>
    <row r="41" spans="3:13">
      <c r="C41" s="175"/>
      <c r="D41" s="42" t="s">
        <v>962</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39" t="str">
        <f>'KEY INPUTS'!D9</f>
        <v>BOROUGH OF SAYREVILLE</v>
      </c>
      <c r="I43" s="1539"/>
      <c r="J43" s="1539"/>
      <c r="K43" s="1539"/>
      <c r="L43" s="1539"/>
      <c r="M43" s="176"/>
    </row>
    <row r="44" spans="3:13" ht="21" customHeight="1">
      <c r="C44" s="175"/>
      <c r="D44" s="181" t="s">
        <v>84</v>
      </c>
      <c r="E44" s="42"/>
      <c r="F44" s="42"/>
      <c r="G44" s="42"/>
      <c r="H44" s="1528" t="s">
        <v>3408</v>
      </c>
      <c r="I44" s="1529"/>
      <c r="J44" s="1529"/>
      <c r="K44" s="1529"/>
      <c r="L44" s="1529"/>
      <c r="M44" s="176"/>
    </row>
    <row r="45" spans="3:13" ht="21" customHeight="1">
      <c r="C45" s="175"/>
      <c r="D45" s="181" t="s">
        <v>146</v>
      </c>
      <c r="E45" s="42"/>
      <c r="F45" s="42"/>
      <c r="G45" s="42"/>
      <c r="H45" s="1528" t="s">
        <v>3408</v>
      </c>
      <c r="I45" s="1529"/>
      <c r="J45" s="1529"/>
      <c r="K45" s="1529"/>
      <c r="L45" s="1529"/>
      <c r="M45" s="176"/>
    </row>
    <row r="46" spans="3:13" ht="21" customHeight="1">
      <c r="C46" s="175"/>
      <c r="D46" s="151" t="s">
        <v>85</v>
      </c>
      <c r="E46" s="42"/>
      <c r="F46" s="42"/>
      <c r="G46" s="42"/>
      <c r="H46" s="1528" t="s">
        <v>3408</v>
      </c>
      <c r="I46" s="1529"/>
      <c r="J46" s="1529"/>
      <c r="K46" s="1529"/>
      <c r="L46" s="1529"/>
      <c r="M46" s="176"/>
    </row>
    <row r="47" spans="3:13" ht="21" customHeight="1">
      <c r="C47" s="175"/>
      <c r="D47" s="151" t="s">
        <v>819</v>
      </c>
      <c r="E47" s="42"/>
      <c r="F47" s="42"/>
      <c r="G47" s="42"/>
      <c r="H47" s="1528" t="s">
        <v>3408</v>
      </c>
      <c r="I47" s="1528"/>
      <c r="J47" s="1528"/>
      <c r="K47" s="1528"/>
      <c r="L47" s="1528"/>
      <c r="M47" s="176"/>
    </row>
    <row r="48" spans="3:13">
      <c r="C48" s="175"/>
      <c r="D48" s="42"/>
      <c r="E48" s="42"/>
      <c r="F48" s="42"/>
      <c r="G48" s="42"/>
      <c r="H48" s="42"/>
      <c r="I48" s="42"/>
      <c r="J48" s="42"/>
      <c r="K48" s="42"/>
      <c r="L48" s="42"/>
      <c r="M48" s="176"/>
    </row>
    <row r="49" spans="3:15" ht="13.8" thickBot="1">
      <c r="C49" s="178"/>
      <c r="D49" s="179"/>
      <c r="E49" s="179"/>
      <c r="F49" s="179"/>
      <c r="G49" s="179"/>
      <c r="H49" s="179"/>
      <c r="I49" s="179"/>
      <c r="J49" s="179"/>
      <c r="K49" s="179"/>
      <c r="L49" s="179"/>
      <c r="M49" s="180"/>
    </row>
    <row r="50" spans="3:15" ht="13.8" thickBot="1">
      <c r="O50" s="762"/>
    </row>
    <row r="51" spans="3:15">
      <c r="C51" s="172"/>
      <c r="D51" s="173"/>
      <c r="E51" s="173"/>
      <c r="F51" s="173"/>
      <c r="G51" s="173"/>
      <c r="H51" s="173"/>
      <c r="I51" s="173"/>
      <c r="J51" s="173"/>
      <c r="K51" s="173"/>
      <c r="L51" s="173"/>
      <c r="M51" s="174"/>
    </row>
    <row r="52" spans="3:15">
      <c r="C52" s="175"/>
      <c r="D52" s="1538" t="s">
        <v>1043</v>
      </c>
      <c r="E52" s="1538"/>
      <c r="F52" s="1538"/>
      <c r="G52" s="1538"/>
      <c r="H52" s="1538"/>
      <c r="I52" s="1538"/>
      <c r="J52" s="1538"/>
      <c r="K52" s="1538"/>
      <c r="L52" s="1538"/>
      <c r="M52" s="176"/>
    </row>
    <row r="53" spans="3:15">
      <c r="C53" s="175"/>
      <c r="D53" s="42"/>
      <c r="E53" s="42"/>
      <c r="F53" s="42"/>
      <c r="G53" s="42"/>
      <c r="H53" s="42"/>
      <c r="I53" s="42"/>
      <c r="J53" s="42"/>
      <c r="K53" s="42"/>
      <c r="L53" s="42"/>
      <c r="M53" s="176"/>
    </row>
    <row r="54" spans="3:15">
      <c r="C54" s="175"/>
      <c r="D54" s="42" t="s">
        <v>3639</v>
      </c>
      <c r="E54" s="42"/>
      <c r="F54" s="42"/>
      <c r="G54" s="42"/>
      <c r="H54" s="42"/>
      <c r="I54" s="42"/>
      <c r="J54" s="42"/>
      <c r="K54" s="42"/>
      <c r="L54" s="42"/>
      <c r="M54" s="176"/>
    </row>
    <row r="55" spans="3:15">
      <c r="C55" s="175"/>
      <c r="D55" s="667"/>
      <c r="E55" s="667"/>
      <c r="F55" s="667"/>
      <c r="G55" s="182" t="s">
        <v>3778</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40" t="str">
        <f>+'KEY INPUTS'!D9</f>
        <v>BOROUGH OF SAYREVILLE</v>
      </c>
      <c r="I59" s="1540"/>
      <c r="J59" s="1540"/>
      <c r="K59" s="1540"/>
      <c r="L59" s="1540"/>
      <c r="M59" s="176"/>
    </row>
    <row r="60" spans="3:15" ht="21" customHeight="1">
      <c r="C60" s="175"/>
      <c r="D60" s="181" t="s">
        <v>84</v>
      </c>
      <c r="E60" s="42"/>
      <c r="F60" s="42"/>
      <c r="G60" s="42"/>
      <c r="H60" s="1529"/>
      <c r="I60" s="1529"/>
      <c r="J60" s="1529"/>
      <c r="K60" s="1529"/>
      <c r="L60" s="1529"/>
      <c r="M60" s="176"/>
      <c r="O60" s="762"/>
    </row>
    <row r="61" spans="3:15" ht="21" customHeight="1">
      <c r="C61" s="175"/>
      <c r="D61" s="181" t="s">
        <v>146</v>
      </c>
      <c r="E61" s="42"/>
      <c r="F61" s="42"/>
      <c r="G61" s="42"/>
      <c r="H61" s="1529"/>
      <c r="I61" s="1529"/>
      <c r="J61" s="1529"/>
      <c r="K61" s="1529"/>
      <c r="L61" s="1529"/>
      <c r="M61" s="176"/>
    </row>
    <row r="62" spans="3:15" ht="21" customHeight="1">
      <c r="C62" s="175"/>
      <c r="D62" s="151" t="s">
        <v>85</v>
      </c>
      <c r="E62" s="42"/>
      <c r="F62" s="42"/>
      <c r="G62" s="42"/>
      <c r="H62" s="1529"/>
      <c r="I62" s="1529"/>
      <c r="J62" s="1529"/>
      <c r="K62" s="1529"/>
      <c r="L62" s="1529"/>
      <c r="M62" s="176"/>
    </row>
    <row r="63" spans="3:15" ht="21" customHeight="1">
      <c r="C63" s="175"/>
      <c r="D63" s="151" t="s">
        <v>819</v>
      </c>
      <c r="E63" s="42"/>
      <c r="F63" s="42"/>
      <c r="G63" s="42"/>
      <c r="H63" s="1541"/>
      <c r="I63" s="1541"/>
      <c r="J63" s="1541"/>
      <c r="K63" s="1541"/>
      <c r="L63" s="1541"/>
      <c r="M63" s="176"/>
    </row>
    <row r="64" spans="3:15">
      <c r="C64" s="175"/>
      <c r="D64" s="42"/>
      <c r="E64" s="42"/>
      <c r="F64" s="42"/>
      <c r="G64" s="42"/>
      <c r="H64" s="42"/>
      <c r="I64" s="42"/>
      <c r="J64" s="42"/>
      <c r="K64" s="42"/>
      <c r="L64" s="42"/>
      <c r="M64" s="176"/>
    </row>
    <row r="65" spans="3:13" ht="13.8" thickBot="1">
      <c r="C65" s="178"/>
      <c r="D65" s="179"/>
      <c r="E65" s="179"/>
      <c r="F65" s="179"/>
      <c r="G65" s="179"/>
      <c r="H65" s="179"/>
      <c r="I65" s="179"/>
      <c r="J65" s="179"/>
      <c r="K65" s="179"/>
      <c r="L65" s="179"/>
      <c r="M65" s="180"/>
    </row>
    <row r="66" spans="3:13" ht="13.8">
      <c r="C66" s="1507" t="s">
        <v>820</v>
      </c>
      <c r="D66" s="1507"/>
      <c r="E66" s="1507"/>
      <c r="F66" s="1507"/>
      <c r="G66" s="1507"/>
      <c r="H66" s="1507"/>
      <c r="I66" s="1507"/>
      <c r="J66" s="1507"/>
      <c r="K66" s="1507"/>
      <c r="L66" s="1507"/>
      <c r="M66" s="1507"/>
    </row>
  </sheetData>
  <sheetProtection algorithmName="SHA-512" hashValue="lJXMYqCQu9NVWEcpxNkIhN7LJIg6TeP5hJka4YDOZAs7yQzgVj/vykzH1naOOLKIGNsOR/yz6iKAh6LbTZ9/ug==" saltValue="lc3hr9qROAJ80i11PYO0+g==" spinCount="100000" sheet="1" objects="1" scenarios="1"/>
  <mergeCells count="16">
    <mergeCell ref="C4:M4"/>
    <mergeCell ref="C5:M5"/>
    <mergeCell ref="C6:M6"/>
    <mergeCell ref="D13:L13"/>
    <mergeCell ref="H62:L62"/>
    <mergeCell ref="H45:L45"/>
    <mergeCell ref="H61:L61"/>
    <mergeCell ref="H47:L47"/>
    <mergeCell ref="C66:M66"/>
    <mergeCell ref="D52:L52"/>
    <mergeCell ref="H43:L43"/>
    <mergeCell ref="H44:L44"/>
    <mergeCell ref="H46:L46"/>
    <mergeCell ref="H60:L60"/>
    <mergeCell ref="H59:L59"/>
    <mergeCell ref="H63:L63"/>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+'11.8 Grants Approp Rsrv'!F27</f>
        <v>655275.70000000007</v>
      </c>
      <c r="G8" s="1031">
        <f>+'11.8 Grants Approp Rsrv'!G27</f>
        <v>884543.77</v>
      </c>
      <c r="H8" s="1031">
        <f>+'11.8 Grants Approp Rsrv'!H27</f>
        <v>146441.91999999998</v>
      </c>
      <c r="I8" s="1031">
        <f>+'11.8 Grants Approp Rsrv'!I27</f>
        <v>1110151.49</v>
      </c>
      <c r="J8" s="1031">
        <f>+'11.8 Grants Approp Rsrv'!J27</f>
        <v>0</v>
      </c>
      <c r="K8" s="1031">
        <f>+'11.8 Grants Approp Rsrv'!K27</f>
        <v>0</v>
      </c>
      <c r="L8" s="1032">
        <f>+'11.8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3581</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+'11.9 Grants Approp Rsrv'!F27</f>
        <v>655275.70000000007</v>
      </c>
      <c r="G8" s="1031">
        <f>+'11.9 Grants Approp Rsrv'!G27</f>
        <v>884543.77</v>
      </c>
      <c r="H8" s="1031">
        <f>+'11.9 Grants Approp Rsrv'!H27</f>
        <v>146441.91999999998</v>
      </c>
      <c r="I8" s="1031">
        <f>+'11.9 Grants Approp Rsrv'!I27</f>
        <v>1110151.49</v>
      </c>
      <c r="J8" s="1031">
        <f>+'11.9 Grants Approp Rsrv'!J27</f>
        <v>0</v>
      </c>
      <c r="K8" s="1031">
        <f>+'11.9 Grants Approp Rsrv'!K27</f>
        <v>0</v>
      </c>
      <c r="L8" s="1032">
        <f>+'11.9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3582</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+'11.10 Grants Approp Rsrv'!F27</f>
        <v>655275.70000000007</v>
      </c>
      <c r="G8" s="1031">
        <f>+'11.10 Grants Approp Rsrv'!G27</f>
        <v>884543.77</v>
      </c>
      <c r="H8" s="1031">
        <f>+'11.10 Grants Approp Rsrv'!H27</f>
        <v>146441.91999999998</v>
      </c>
      <c r="I8" s="1031">
        <f>+'11.10 Grants Approp Rsrv'!I27</f>
        <v>1110151.49</v>
      </c>
      <c r="J8" s="1031">
        <f>+'11.10 Grants Approp Rsrv'!J27</f>
        <v>0</v>
      </c>
      <c r="K8" s="1031">
        <f>+'11.10 Grants Approp Rsrv'!K27</f>
        <v>0</v>
      </c>
      <c r="L8" s="1032">
        <f>+'11.10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3583</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+'11.11 Grants Approp Rsrv'!F27</f>
        <v>655275.70000000007</v>
      </c>
      <c r="G8" s="1031">
        <f>+'11.11 Grants Approp Rsrv'!G27</f>
        <v>884543.77</v>
      </c>
      <c r="H8" s="1031">
        <f>+'11.11 Grants Approp Rsrv'!H27</f>
        <v>146441.91999999998</v>
      </c>
      <c r="I8" s="1031">
        <f>+'11.11 Grants Approp Rsrv'!I27</f>
        <v>1110151.49</v>
      </c>
      <c r="J8" s="1031">
        <f>+'11.11 Grants Approp Rsrv'!J27</f>
        <v>0</v>
      </c>
      <c r="K8" s="1031">
        <f>+'11.11 Grants Approp Rsrv'!K27</f>
        <v>0</v>
      </c>
      <c r="L8" s="1032">
        <f>+'11.11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3584</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+'11.12 Grants Approp Rsrv'!F27</f>
        <v>655275.70000000007</v>
      </c>
      <c r="G8" s="1031">
        <f>+'11.12 Grants Approp Rsrv'!G27</f>
        <v>884543.77</v>
      </c>
      <c r="H8" s="1031">
        <f>+'11.12 Grants Approp Rsrv'!H27</f>
        <v>146441.91999999998</v>
      </c>
      <c r="I8" s="1031">
        <f>+'11.12 Grants Approp Rsrv'!I27</f>
        <v>1110151.49</v>
      </c>
      <c r="J8" s="1031">
        <f>+'11.12 Grants Approp Rsrv'!J27</f>
        <v>0</v>
      </c>
      <c r="K8" s="1031">
        <f>+'11.12 Grants Approp Rsrv'!K27</f>
        <v>0</v>
      </c>
      <c r="L8" s="1032">
        <f>+'11.12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3585</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+'11.13 Grants Approp Rsrv'!F27</f>
        <v>655275.70000000007</v>
      </c>
      <c r="G8" s="1031">
        <f>+'11.13 Grants Approp Rsrv'!G27</f>
        <v>884543.77</v>
      </c>
      <c r="H8" s="1031">
        <f>+'11.13 Grants Approp Rsrv'!H27</f>
        <v>146441.91999999998</v>
      </c>
      <c r="I8" s="1031">
        <f>+'11.13 Grants Approp Rsrv'!I27</f>
        <v>1110151.49</v>
      </c>
      <c r="J8" s="1031">
        <f>+'11.13 Grants Approp Rsrv'!J27</f>
        <v>0</v>
      </c>
      <c r="K8" s="1031">
        <f>+'11.13 Grants Approp Rsrv'!K27</f>
        <v>0</v>
      </c>
      <c r="L8" s="1032">
        <f>+'11.13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3586</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+'11.14 Grants Approp Rsrv'!F27</f>
        <v>655275.70000000007</v>
      </c>
      <c r="G8" s="1031">
        <f>+'11.14 Grants Approp Rsrv'!G27</f>
        <v>884543.77</v>
      </c>
      <c r="H8" s="1031">
        <f>+'11.14 Grants Approp Rsrv'!H27</f>
        <v>146441.91999999998</v>
      </c>
      <c r="I8" s="1031">
        <f>+'11.14 Grants Approp Rsrv'!I27</f>
        <v>1110151.49</v>
      </c>
      <c r="J8" s="1031">
        <f>+'11.14 Grants Approp Rsrv'!J27</f>
        <v>0</v>
      </c>
      <c r="K8" s="1031">
        <f>+'11.14 Grants Approp Rsrv'!K27</f>
        <v>0</v>
      </c>
      <c r="L8" s="1032">
        <f>+'11.14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3587</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+'11.15 Grants Approp Rsrv'!F27</f>
        <v>655275.70000000007</v>
      </c>
      <c r="G8" s="1031">
        <f>+'11.15 Grants Approp Rsrv'!G27</f>
        <v>884543.77</v>
      </c>
      <c r="H8" s="1031">
        <f>+'11.15 Grants Approp Rsrv'!H27</f>
        <v>146441.91999999998</v>
      </c>
      <c r="I8" s="1031">
        <f>+'11.15 Grants Approp Rsrv'!I27</f>
        <v>1110151.49</v>
      </c>
      <c r="J8" s="1031">
        <f>+'11.15 Grants Approp Rsrv'!J27</f>
        <v>0</v>
      </c>
      <c r="K8" s="1031">
        <f>+'11.15 Grants Approp Rsrv'!K27</f>
        <v>0</v>
      </c>
      <c r="L8" s="1032">
        <f>+'11.15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3588</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+'11.16 Grants Approp Rsrv'!F27</f>
        <v>655275.70000000007</v>
      </c>
      <c r="G8" s="1031">
        <f>+'11.16 Grants Approp Rsrv'!G27</f>
        <v>884543.77</v>
      </c>
      <c r="H8" s="1031">
        <f>+'11.16 Grants Approp Rsrv'!H27</f>
        <v>146441.91999999998</v>
      </c>
      <c r="I8" s="1031">
        <f>+'11.16 Grants Approp Rsrv'!I27</f>
        <v>1110151.49</v>
      </c>
      <c r="J8" s="1031">
        <f>+'11.16 Grants Approp Rsrv'!J27</f>
        <v>0</v>
      </c>
      <c r="K8" s="1031">
        <f>+'11.16 Grants Approp Rsrv'!K27</f>
        <v>0</v>
      </c>
      <c r="L8" s="1032">
        <f>+'11.16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3589</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2: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+'11.17 Grants Approp Rsrv'!F27</f>
        <v>655275.70000000007</v>
      </c>
      <c r="G8" s="1031">
        <f>+'11.17 Grants Approp Rsrv'!G27</f>
        <v>884543.77</v>
      </c>
      <c r="H8" s="1031">
        <f>+'11.17 Grants Approp Rsrv'!H27</f>
        <v>146441.91999999998</v>
      </c>
      <c r="I8" s="1031">
        <f>+'11.17 Grants Approp Rsrv'!I27</f>
        <v>1110151.49</v>
      </c>
      <c r="J8" s="1031">
        <f>+'11.17 Grants Approp Rsrv'!J27</f>
        <v>0</v>
      </c>
      <c r="K8" s="1031">
        <f>+'11.17 Grants Approp Rsrv'!K27</f>
        <v>0</v>
      </c>
      <c r="L8" s="1032">
        <f>+'11.17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3590</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4:P71"/>
  <sheetViews>
    <sheetView topLeftCell="A19" zoomScaleNormal="100" workbookViewId="0">
      <selection activeCell="B1" sqref="B1"/>
    </sheetView>
  </sheetViews>
  <sheetFormatPr defaultRowHeight="13.2"/>
  <cols>
    <col min="1" max="1" width="4" customWidth="1"/>
    <col min="2" max="2" width="5.44140625" customWidth="1"/>
    <col min="3" max="3" width="2.6640625" customWidth="1"/>
    <col min="4" max="4" width="12.6640625" customWidth="1"/>
    <col min="5" max="5" width="15.44140625" bestFit="1" customWidth="1"/>
    <col min="6" max="6" width="1.6640625" customWidth="1"/>
    <col min="7" max="7" width="4.6640625" customWidth="1"/>
    <col min="8" max="8" width="12.6640625" customWidth="1"/>
    <col min="9" max="9" width="4.5546875" customWidth="1"/>
    <col min="10" max="10" width="1.6640625" customWidth="1"/>
    <col min="11" max="11" width="16.6640625" customWidth="1"/>
    <col min="13" max="13" width="9.44140625" customWidth="1"/>
    <col min="14" max="14" width="12.88671875" bestFit="1" customWidth="1"/>
    <col min="16" max="16" width="11.88671875" hidden="1" customWidth="1"/>
  </cols>
  <sheetData>
    <row r="4" spans="2:13">
      <c r="B4" s="1516" t="str">
        <f>IF('KEY INPUTS'!D13=0,"NO ENTRY",'KEY INPUTS'!D13)</f>
        <v>22-6002288</v>
      </c>
      <c r="C4" s="1516"/>
      <c r="D4" s="1516"/>
      <c r="E4" s="1516"/>
    </row>
    <row r="5" spans="2:13">
      <c r="B5" s="1546" t="s">
        <v>453</v>
      </c>
      <c r="C5" s="1546"/>
      <c r="D5" s="1546"/>
      <c r="E5" s="1546"/>
    </row>
    <row r="8" spans="2:13">
      <c r="B8" s="1516" t="str">
        <f>+'KEY INPUTS'!D9</f>
        <v>BOROUGH OF SAYREVILLE</v>
      </c>
      <c r="C8" s="1516"/>
      <c r="D8" s="1516"/>
      <c r="E8" s="1516"/>
    </row>
    <row r="9" spans="2:13">
      <c r="B9" s="1546" t="s">
        <v>454</v>
      </c>
      <c r="C9" s="1546"/>
      <c r="D9" s="1546"/>
      <c r="E9" s="1546"/>
    </row>
    <row r="12" spans="2:13">
      <c r="B12" s="1516" t="str">
        <f>+'KEY INPUTS'!D10</f>
        <v>MIDDLESEX</v>
      </c>
      <c r="C12" s="1516"/>
      <c r="D12" s="1516"/>
      <c r="E12" s="1516"/>
    </row>
    <row r="13" spans="2:13">
      <c r="B13" s="1546" t="s">
        <v>455</v>
      </c>
      <c r="C13" s="1546"/>
      <c r="D13" s="1546"/>
      <c r="E13" s="1546"/>
    </row>
    <row r="16" spans="2:13" ht="17.100000000000001" customHeight="1">
      <c r="B16" s="1507" t="s">
        <v>456</v>
      </c>
      <c r="C16" s="1507"/>
      <c r="D16" s="1507"/>
      <c r="E16" s="1507"/>
      <c r="F16" s="1507"/>
      <c r="G16" s="1507"/>
      <c r="H16" s="1507"/>
      <c r="I16" s="1507"/>
      <c r="J16" s="1507"/>
      <c r="K16" s="1507"/>
      <c r="L16" s="1507"/>
      <c r="M16" s="1507"/>
    </row>
    <row r="17" spans="2:16" ht="17.100000000000001" customHeight="1">
      <c r="B17" s="1507" t="s">
        <v>457</v>
      </c>
      <c r="C17" s="1507"/>
      <c r="D17" s="1507"/>
      <c r="E17" s="1507"/>
      <c r="F17" s="1507"/>
      <c r="G17" s="1507"/>
      <c r="H17" s="1507"/>
      <c r="I17" s="1507"/>
      <c r="J17" s="1507"/>
      <c r="K17" s="1507"/>
      <c r="L17" s="1507"/>
      <c r="M17" s="1507"/>
    </row>
    <row r="20" spans="2:16">
      <c r="G20" t="s">
        <v>458</v>
      </c>
      <c r="I20" s="1543">
        <f>+'KEY INPUTS'!D29</f>
        <v>43830</v>
      </c>
      <c r="J20" s="1543"/>
      <c r="K20" s="1543"/>
    </row>
    <row r="23" spans="2:16">
      <c r="E23" s="249" t="s">
        <v>623</v>
      </c>
      <c r="G23" s="1544" t="s">
        <v>904</v>
      </c>
      <c r="H23" s="1544"/>
      <c r="I23" s="85"/>
      <c r="K23" s="85" t="s">
        <v>181</v>
      </c>
    </row>
    <row r="24" spans="2:16">
      <c r="E24" s="1" t="s">
        <v>965</v>
      </c>
      <c r="I24" s="1"/>
    </row>
    <row r="25" spans="2:16">
      <c r="E25" s="1" t="s">
        <v>302</v>
      </c>
      <c r="G25" s="1545" t="s">
        <v>905</v>
      </c>
      <c r="H25" s="1545"/>
      <c r="I25" s="1"/>
      <c r="K25" s="1" t="s">
        <v>966</v>
      </c>
    </row>
    <row r="26" spans="2:16">
      <c r="E26" s="1" t="s">
        <v>641</v>
      </c>
      <c r="G26" s="1545" t="s">
        <v>967</v>
      </c>
      <c r="H26" s="1545"/>
      <c r="K26" s="1" t="s">
        <v>967</v>
      </c>
    </row>
    <row r="27" spans="2:16">
      <c r="E27" s="1" t="s">
        <v>968</v>
      </c>
      <c r="G27" s="1545" t="s">
        <v>302</v>
      </c>
      <c r="H27" s="1545"/>
      <c r="K27" s="1" t="s">
        <v>302</v>
      </c>
    </row>
    <row r="29" spans="2:16">
      <c r="B29" s="1545" t="s">
        <v>988</v>
      </c>
      <c r="C29" s="1545"/>
      <c r="D29" s="38" t="s">
        <v>482</v>
      </c>
      <c r="E29" s="376" t="s">
        <v>3408</v>
      </c>
      <c r="F29" t="s">
        <v>482</v>
      </c>
      <c r="G29" s="1547" t="s">
        <v>3408</v>
      </c>
      <c r="H29" s="1547"/>
      <c r="J29" t="s">
        <v>482</v>
      </c>
      <c r="K29" s="376" t="s">
        <v>3408</v>
      </c>
      <c r="N29" s="228"/>
      <c r="P29" s="312" t="e">
        <f>+#REF!-G29</f>
        <v>#REF!</v>
      </c>
    </row>
    <row r="30" spans="2:16">
      <c r="H30" s="191"/>
      <c r="K30" s="228"/>
    </row>
    <row r="32" spans="2:16" ht="21" customHeight="1">
      <c r="G32" s="321" t="s">
        <v>1146</v>
      </c>
      <c r="H32" s="324"/>
      <c r="I32" s="324"/>
      <c r="J32" s="324"/>
      <c r="K32" s="324"/>
      <c r="L32" s="324"/>
      <c r="M32" s="324"/>
    </row>
    <row r="33" spans="2:15" s="318" customFormat="1" ht="21" customHeight="1">
      <c r="G33" s="321" t="s">
        <v>1147</v>
      </c>
      <c r="H33" s="324"/>
      <c r="I33" s="324"/>
      <c r="J33" s="324"/>
      <c r="K33" s="324"/>
      <c r="L33" s="324"/>
      <c r="M33" s="324"/>
    </row>
    <row r="34" spans="2:15" ht="21" customHeight="1">
      <c r="G34" s="712" t="s">
        <v>3408</v>
      </c>
      <c r="H34" t="s">
        <v>989</v>
      </c>
    </row>
    <row r="35" spans="2:15" ht="21" customHeight="1">
      <c r="G35" s="717" t="s">
        <v>3408</v>
      </c>
      <c r="H35" t="s">
        <v>990</v>
      </c>
    </row>
    <row r="36" spans="2:15" ht="21" customHeight="1">
      <c r="G36" s="712" t="s">
        <v>3408</v>
      </c>
      <c r="H36" t="s">
        <v>991</v>
      </c>
    </row>
    <row r="37" spans="2:15">
      <c r="H37" t="s">
        <v>992</v>
      </c>
    </row>
    <row r="40" spans="2:15">
      <c r="B40" t="s">
        <v>898</v>
      </c>
      <c r="D40" s="331" t="s">
        <v>1148</v>
      </c>
      <c r="E40" s="331"/>
      <c r="F40" s="331"/>
      <c r="G40" s="331"/>
      <c r="H40" s="322"/>
      <c r="I40" s="322"/>
      <c r="J40" s="322"/>
      <c r="K40" s="322"/>
      <c r="L40" s="322"/>
      <c r="M40" s="322"/>
      <c r="N40" s="322"/>
      <c r="O40" s="322"/>
    </row>
    <row r="41" spans="2:15">
      <c r="D41" s="331" t="s">
        <v>1149</v>
      </c>
      <c r="E41" s="331"/>
      <c r="F41" s="331"/>
      <c r="G41" s="331"/>
      <c r="H41" s="322"/>
      <c r="I41" s="322"/>
      <c r="J41" s="322"/>
      <c r="K41" s="322"/>
      <c r="L41" s="322"/>
      <c r="M41" s="322"/>
      <c r="N41" s="322"/>
      <c r="O41" s="322"/>
    </row>
    <row r="42" spans="2:15">
      <c r="D42" s="333" t="s">
        <v>1150</v>
      </c>
      <c r="E42" s="331"/>
      <c r="F42" s="331"/>
      <c r="G42" s="331"/>
      <c r="H42" s="322"/>
      <c r="I42" s="322"/>
      <c r="J42" s="322"/>
      <c r="K42" s="322"/>
      <c r="L42" s="322"/>
      <c r="M42" s="322"/>
      <c r="N42" s="322"/>
      <c r="O42" s="322"/>
    </row>
    <row r="43" spans="2:15">
      <c r="D43" s="333" t="s">
        <v>1151</v>
      </c>
      <c r="E43" s="331"/>
      <c r="F43" s="331"/>
      <c r="G43" s="331"/>
      <c r="H43" s="322"/>
      <c r="I43" s="322"/>
      <c r="J43" s="322"/>
      <c r="K43" s="322"/>
      <c r="L43" s="322"/>
      <c r="M43" s="322"/>
      <c r="N43" s="322"/>
      <c r="O43" s="322"/>
    </row>
    <row r="44" spans="2:15">
      <c r="D44" s="333" t="s">
        <v>1152</v>
      </c>
      <c r="E44" s="331"/>
      <c r="F44" s="331"/>
      <c r="G44" s="331"/>
      <c r="H44" s="322"/>
      <c r="I44" s="322"/>
      <c r="J44" s="322"/>
      <c r="K44" s="322"/>
      <c r="L44" s="322"/>
      <c r="M44" s="322"/>
      <c r="N44" s="322"/>
      <c r="O44" s="322"/>
    </row>
    <row r="45" spans="2:15">
      <c r="D45" s="333" t="s">
        <v>1153</v>
      </c>
      <c r="E45" s="331"/>
      <c r="F45" s="331"/>
      <c r="G45" s="331"/>
      <c r="H45" s="322"/>
      <c r="I45" s="322"/>
      <c r="J45" s="322"/>
      <c r="K45" s="322"/>
      <c r="L45" s="322"/>
      <c r="M45" s="322"/>
      <c r="N45" s="322"/>
      <c r="O45" s="322"/>
    </row>
    <row r="46" spans="2:15" s="322" customFormat="1">
      <c r="D46" s="333"/>
      <c r="E46" s="331"/>
      <c r="F46" s="331"/>
      <c r="G46" s="331"/>
    </row>
    <row r="47" spans="2:15">
      <c r="B47" s="85" t="s">
        <v>623</v>
      </c>
      <c r="D47" t="s">
        <v>642</v>
      </c>
    </row>
    <row r="48" spans="2:15">
      <c r="D48" t="s">
        <v>969</v>
      </c>
    </row>
    <row r="49" spans="2:11">
      <c r="D49" t="s">
        <v>970</v>
      </c>
    </row>
    <row r="51" spans="2:11">
      <c r="B51" s="85" t="s">
        <v>904</v>
      </c>
      <c r="D51" t="s">
        <v>643</v>
      </c>
    </row>
    <row r="52" spans="2:11">
      <c r="D52" t="s">
        <v>138</v>
      </c>
    </row>
    <row r="53" spans="2:11">
      <c r="D53" s="118" t="s">
        <v>139</v>
      </c>
    </row>
    <row r="55" spans="2:11">
      <c r="B55" s="85" t="s">
        <v>181</v>
      </c>
      <c r="D55" t="s">
        <v>140</v>
      </c>
    </row>
    <row r="56" spans="2:11">
      <c r="D56" t="s">
        <v>141</v>
      </c>
    </row>
    <row r="60" spans="2:11">
      <c r="C60" s="1536" t="s">
        <v>3408</v>
      </c>
      <c r="D60" s="1533"/>
      <c r="E60" s="1533"/>
      <c r="F60" s="1533"/>
      <c r="K60" s="667" t="s">
        <v>3408</v>
      </c>
    </row>
    <row r="61" spans="2:11">
      <c r="C61" s="1546" t="s">
        <v>987</v>
      </c>
      <c r="D61" s="1546"/>
      <c r="E61" s="1546"/>
      <c r="F61" s="1546"/>
      <c r="K61" s="1" t="s">
        <v>18</v>
      </c>
    </row>
    <row r="71" spans="2:13" ht="13.8">
      <c r="B71" s="1507" t="s">
        <v>86</v>
      </c>
      <c r="C71" s="1507"/>
      <c r="D71" s="1507"/>
      <c r="E71" s="1507"/>
      <c r="F71" s="1507"/>
      <c r="G71" s="1507"/>
      <c r="H71" s="1507"/>
      <c r="I71" s="1507"/>
      <c r="J71" s="1507"/>
      <c r="K71" s="1507"/>
      <c r="L71" s="1507"/>
      <c r="M71" s="1507"/>
    </row>
  </sheetData>
  <sheetProtection password="CAF9"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+'11.18 Grants Approp Rsrv'!F27</f>
        <v>655275.70000000007</v>
      </c>
      <c r="G8" s="1031">
        <f>+'11.18 Grants Approp Rsrv'!G27</f>
        <v>884543.77</v>
      </c>
      <c r="H8" s="1031">
        <f>+'11.18 Grants Approp Rsrv'!H27</f>
        <v>146441.91999999998</v>
      </c>
      <c r="I8" s="1031">
        <f>+'11.18 Grants Approp Rsrv'!I27</f>
        <v>1110151.49</v>
      </c>
      <c r="J8" s="1031">
        <f>+'11.18 Grants Approp Rsrv'!J27</f>
        <v>0</v>
      </c>
      <c r="K8" s="1031">
        <f>+'11.18 Grants Approp Rsrv'!K27</f>
        <v>0</v>
      </c>
      <c r="L8" s="1032">
        <f>+'11.18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3592</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+'11.19 Grants Approp Rsrv'!F27</f>
        <v>655275.70000000007</v>
      </c>
      <c r="G8" s="1031">
        <f>+'11.19 Grants Approp Rsrv'!G27</f>
        <v>884543.77</v>
      </c>
      <c r="H8" s="1031">
        <f>+'11.19 Grants Approp Rsrv'!H27</f>
        <v>146441.91999999998</v>
      </c>
      <c r="I8" s="1031">
        <f>+'11.19 Grants Approp Rsrv'!I27</f>
        <v>1110151.49</v>
      </c>
      <c r="J8" s="1031">
        <f>+'11.19 Grants Approp Rsrv'!J27</f>
        <v>0</v>
      </c>
      <c r="K8" s="1031">
        <f>+'11.19 Grants Approp Rsrv'!K27</f>
        <v>0</v>
      </c>
      <c r="L8" s="1032">
        <f>+'11.19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3591</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+'11.20 Grants Approp Rsrv'!F27</f>
        <v>655275.70000000007</v>
      </c>
      <c r="G8" s="1031">
        <f>+'11.20 Grants Approp Rsrv'!G27</f>
        <v>884543.77</v>
      </c>
      <c r="H8" s="1031">
        <f>+'11.20 Grants Approp Rsrv'!H27</f>
        <v>146441.91999999998</v>
      </c>
      <c r="I8" s="1031">
        <f>+'11.20 Grants Approp Rsrv'!I27</f>
        <v>1110151.49</v>
      </c>
      <c r="J8" s="1031">
        <f>+'11.20 Grants Approp Rsrv'!J27</f>
        <v>0</v>
      </c>
      <c r="K8" s="1031">
        <f>+'11.20 Grants Approp Rsrv'!K27</f>
        <v>0</v>
      </c>
      <c r="L8" s="1032">
        <f>+'11.20 Grants Approp Rsrv'!L27</f>
        <v>576109.89999999991</v>
      </c>
      <c r="M8" s="711"/>
    </row>
    <row r="9" spans="1:15" ht="21" customHeight="1">
      <c r="B9" s="1607"/>
      <c r="C9" s="1607"/>
      <c r="D9" s="1607"/>
      <c r="E9" s="1608"/>
      <c r="F9" s="575"/>
      <c r="G9" s="575"/>
      <c r="H9" s="575"/>
      <c r="I9" s="575"/>
      <c r="J9" s="575"/>
      <c r="K9" s="575"/>
      <c r="L9" s="320">
        <f t="shared" ref="L9:L26" si="0">+F9+G9+H9-I9+J9-K9</f>
        <v>0</v>
      </c>
      <c r="M9" s="713"/>
    </row>
    <row r="10" spans="1:15" ht="21" customHeight="1">
      <c r="B10" s="1607"/>
      <c r="C10" s="1607"/>
      <c r="D10" s="1607"/>
      <c r="E10" s="1608"/>
      <c r="F10" s="575"/>
      <c r="G10" s="575"/>
      <c r="H10" s="575"/>
      <c r="I10" s="575"/>
      <c r="J10" s="575"/>
      <c r="K10" s="575"/>
      <c r="L10" s="320">
        <f t="shared" si="0"/>
        <v>0</v>
      </c>
      <c r="M10" s="325"/>
    </row>
    <row r="11" spans="1:15" ht="21" customHeight="1">
      <c r="B11" s="1607"/>
      <c r="C11" s="1607"/>
      <c r="D11" s="1607"/>
      <c r="E11" s="1608"/>
      <c r="F11" s="575"/>
      <c r="G11" s="575"/>
      <c r="H11" s="575"/>
      <c r="I11" s="575"/>
      <c r="J11" s="575"/>
      <c r="K11" s="575"/>
      <c r="L11" s="320">
        <f t="shared" si="0"/>
        <v>0</v>
      </c>
      <c r="M11" s="325"/>
      <c r="O11" s="377"/>
    </row>
    <row r="12" spans="1:15" ht="21" customHeight="1">
      <c r="B12" s="1607"/>
      <c r="C12" s="1607"/>
      <c r="D12" s="1607"/>
      <c r="E12" s="1608"/>
      <c r="F12" s="575"/>
      <c r="G12" s="575"/>
      <c r="H12" s="575"/>
      <c r="I12" s="575"/>
      <c r="J12" s="575"/>
      <c r="K12" s="575"/>
      <c r="L12" s="320">
        <f t="shared" si="0"/>
        <v>0</v>
      </c>
      <c r="M12" s="325"/>
    </row>
    <row r="13" spans="1:15" ht="21" customHeight="1">
      <c r="B13" s="1607"/>
      <c r="C13" s="1607"/>
      <c r="D13" s="1607"/>
      <c r="E13" s="1608"/>
      <c r="F13" s="575"/>
      <c r="G13" s="575"/>
      <c r="H13" s="575"/>
      <c r="I13" s="575"/>
      <c r="J13" s="575"/>
      <c r="K13" s="575"/>
      <c r="L13" s="320">
        <f t="shared" si="0"/>
        <v>0</v>
      </c>
      <c r="M13" s="325"/>
    </row>
    <row r="14" spans="1:15" ht="21" customHeight="1">
      <c r="B14" s="1607"/>
      <c r="C14" s="1607"/>
      <c r="D14" s="1607"/>
      <c r="E14" s="1608"/>
      <c r="F14" s="575"/>
      <c r="G14" s="575"/>
      <c r="H14" s="575"/>
      <c r="I14" s="575"/>
      <c r="J14" s="575"/>
      <c r="K14" s="575"/>
      <c r="L14" s="320">
        <f t="shared" si="0"/>
        <v>0</v>
      </c>
      <c r="M14" s="325"/>
    </row>
    <row r="15" spans="1:15" ht="21" customHeight="1">
      <c r="A15" s="1576" t="s">
        <v>3593</v>
      </c>
      <c r="B15" s="1607"/>
      <c r="C15" s="1607"/>
      <c r="D15" s="1607"/>
      <c r="E15" s="1608"/>
      <c r="F15" s="575"/>
      <c r="G15" s="575"/>
      <c r="H15" s="575"/>
      <c r="I15" s="575"/>
      <c r="J15" s="575"/>
      <c r="K15" s="575"/>
      <c r="L15" s="320">
        <f t="shared" si="0"/>
        <v>0</v>
      </c>
      <c r="M15" s="325"/>
    </row>
    <row r="16" spans="1:15" ht="21" customHeight="1">
      <c r="A16" s="1576"/>
      <c r="B16" s="1607"/>
      <c r="C16" s="1607"/>
      <c r="D16" s="1607"/>
      <c r="E16" s="1608"/>
      <c r="F16" s="575"/>
      <c r="G16" s="575"/>
      <c r="H16" s="575"/>
      <c r="I16" s="575"/>
      <c r="J16" s="575"/>
      <c r="K16" s="575"/>
      <c r="L16" s="320">
        <f t="shared" si="0"/>
        <v>0</v>
      </c>
      <c r="M16" s="325"/>
    </row>
    <row r="17" spans="1:13" ht="21" customHeight="1">
      <c r="B17" s="1607"/>
      <c r="C17" s="1607"/>
      <c r="D17" s="1607"/>
      <c r="E17" s="1608"/>
      <c r="F17" s="575"/>
      <c r="G17" s="575"/>
      <c r="H17" s="575"/>
      <c r="I17" s="575"/>
      <c r="J17" s="575"/>
      <c r="K17" s="575"/>
      <c r="L17" s="320">
        <f t="shared" si="0"/>
        <v>0</v>
      </c>
      <c r="M17" s="325"/>
    </row>
    <row r="18" spans="1:13" ht="21" customHeight="1">
      <c r="A18" s="759"/>
      <c r="B18" s="1607"/>
      <c r="C18" s="1607"/>
      <c r="D18" s="1607"/>
      <c r="E18" s="1608"/>
      <c r="F18" s="575"/>
      <c r="G18" s="575"/>
      <c r="H18" s="575"/>
      <c r="I18" s="575"/>
      <c r="J18" s="575"/>
      <c r="K18" s="575"/>
      <c r="L18" s="320">
        <f t="shared" si="0"/>
        <v>0</v>
      </c>
      <c r="M18" s="325"/>
    </row>
    <row r="19" spans="1:13" ht="21" customHeight="1">
      <c r="A19" s="759"/>
      <c r="B19" s="1607"/>
      <c r="C19" s="1607"/>
      <c r="D19" s="1607"/>
      <c r="E19" s="1608"/>
      <c r="F19" s="575"/>
      <c r="G19" s="575"/>
      <c r="H19" s="575"/>
      <c r="I19" s="575"/>
      <c r="J19" s="575"/>
      <c r="K19" s="575"/>
      <c r="L19" s="320">
        <f t="shared" si="0"/>
        <v>0</v>
      </c>
      <c r="M19" s="325"/>
    </row>
    <row r="20" spans="1:13" ht="21" customHeight="1">
      <c r="B20" s="1607"/>
      <c r="C20" s="1607"/>
      <c r="D20" s="1607"/>
      <c r="E20" s="1608"/>
      <c r="F20" s="575"/>
      <c r="G20" s="575"/>
      <c r="H20" s="575"/>
      <c r="I20" s="575"/>
      <c r="J20" s="575"/>
      <c r="K20" s="575"/>
      <c r="L20" s="320">
        <f t="shared" si="0"/>
        <v>0</v>
      </c>
      <c r="M20" s="325"/>
    </row>
    <row r="21" spans="1:13" ht="21" customHeight="1">
      <c r="B21" s="1607"/>
      <c r="C21" s="1607"/>
      <c r="D21" s="1607"/>
      <c r="E21" s="1608"/>
      <c r="F21" s="575"/>
      <c r="G21" s="575"/>
      <c r="H21" s="575"/>
      <c r="I21" s="575"/>
      <c r="J21" s="575"/>
      <c r="K21" s="575"/>
      <c r="L21" s="320">
        <f t="shared" si="0"/>
        <v>0</v>
      </c>
      <c r="M21" s="325"/>
    </row>
    <row r="22" spans="1:13" ht="21" customHeight="1">
      <c r="B22" s="1607"/>
      <c r="C22" s="1607"/>
      <c r="D22" s="1607"/>
      <c r="E22" s="1608"/>
      <c r="F22" s="575"/>
      <c r="G22" s="575"/>
      <c r="H22" s="575"/>
      <c r="I22" s="575"/>
      <c r="J22" s="575"/>
      <c r="K22" s="575"/>
      <c r="L22" s="320">
        <f t="shared" si="0"/>
        <v>0</v>
      </c>
      <c r="M22" s="325"/>
    </row>
    <row r="23" spans="1:13" ht="21" customHeight="1">
      <c r="B23" s="1607"/>
      <c r="C23" s="1607"/>
      <c r="D23" s="1607"/>
      <c r="E23" s="1608"/>
      <c r="F23" s="575"/>
      <c r="G23" s="575"/>
      <c r="H23" s="575"/>
      <c r="I23" s="575"/>
      <c r="J23" s="575"/>
      <c r="K23" s="575"/>
      <c r="L23" s="320">
        <f t="shared" si="0"/>
        <v>0</v>
      </c>
      <c r="M23" s="325"/>
    </row>
    <row r="24" spans="1:13" ht="21" customHeight="1">
      <c r="B24" s="1607"/>
      <c r="C24" s="1607"/>
      <c r="D24" s="1607"/>
      <c r="E24" s="1608"/>
      <c r="F24" s="575"/>
      <c r="G24" s="575"/>
      <c r="H24" s="575"/>
      <c r="I24" s="575"/>
      <c r="J24" s="575"/>
      <c r="K24" s="575"/>
      <c r="L24" s="320">
        <f t="shared" si="0"/>
        <v>0</v>
      </c>
      <c r="M24" s="325"/>
    </row>
    <row r="25" spans="1:13" ht="21" customHeight="1">
      <c r="B25" s="1607"/>
      <c r="C25" s="1607"/>
      <c r="D25" s="1607"/>
      <c r="E25" s="1608"/>
      <c r="F25" s="575"/>
      <c r="G25" s="575"/>
      <c r="H25" s="575"/>
      <c r="I25" s="575"/>
      <c r="J25" s="575"/>
      <c r="K25" s="575"/>
      <c r="L25" s="320">
        <f t="shared" si="0"/>
        <v>0</v>
      </c>
      <c r="M25" s="325"/>
    </row>
    <row r="26" spans="1:13" ht="21" customHeight="1">
      <c r="B26" s="1607"/>
      <c r="C26" s="1607"/>
      <c r="D26" s="1607"/>
      <c r="E26" s="1608"/>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+'11.21 Grants Approp Rsrv'!F27</f>
        <v>655275.70000000007</v>
      </c>
      <c r="G8" s="1031">
        <f>+'11.21 Grants Approp Rsrv'!G27</f>
        <v>884543.77</v>
      </c>
      <c r="H8" s="1031">
        <f>+'11.21 Grants Approp Rsrv'!H27</f>
        <v>146441.91999999998</v>
      </c>
      <c r="I8" s="1031">
        <f>+'11.21 Grants Approp Rsrv'!I27</f>
        <v>1110151.49</v>
      </c>
      <c r="J8" s="1031">
        <f>+'11.21 Grants Approp Rsrv'!J27</f>
        <v>0</v>
      </c>
      <c r="K8" s="1031">
        <f>+'11.21 Grants Approp Rsrv'!K27</f>
        <v>0</v>
      </c>
      <c r="L8" s="1032">
        <f>+'11.21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3594</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+'11.22 Grants Approp Rsrv'!F27</f>
        <v>655275.70000000007</v>
      </c>
      <c r="G8" s="1031">
        <f>+'11.22 Grants Approp Rsrv'!G27</f>
        <v>884543.77</v>
      </c>
      <c r="H8" s="1031">
        <f>+'11.22 Grants Approp Rsrv'!H27</f>
        <v>146441.91999999998</v>
      </c>
      <c r="I8" s="1031">
        <f>+'11.22 Grants Approp Rsrv'!I27</f>
        <v>1110151.49</v>
      </c>
      <c r="J8" s="1031">
        <f>+'11.22 Grants Approp Rsrv'!J27</f>
        <v>0</v>
      </c>
      <c r="K8" s="1031">
        <f>+'11.22 Grants Approp Rsrv'!K27</f>
        <v>0</v>
      </c>
      <c r="L8" s="1032">
        <f>+'11.22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3595</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+'11.23 Grants Approp Rsrv'!F27</f>
        <v>655275.70000000007</v>
      </c>
      <c r="G8" s="1031">
        <f>+'11.23 Grants Approp Rsrv'!G27</f>
        <v>884543.77</v>
      </c>
      <c r="H8" s="1031">
        <f>+'11.23 Grants Approp Rsrv'!H27</f>
        <v>146441.91999999998</v>
      </c>
      <c r="I8" s="1031">
        <f>+'11.23 Grants Approp Rsrv'!I27</f>
        <v>1110151.49</v>
      </c>
      <c r="J8" s="1031">
        <f>+'11.23 Grants Approp Rsrv'!J27</f>
        <v>0</v>
      </c>
      <c r="K8" s="1031">
        <f>+'11.23 Grants Approp Rsrv'!K27</f>
        <v>0</v>
      </c>
      <c r="L8" s="1032">
        <f>+'11.23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3596</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+'11.24 Grants Approp Rsrv'!F27</f>
        <v>655275.70000000007</v>
      </c>
      <c r="G8" s="1031">
        <f>+'11.24 Grants Approp Rsrv'!G27</f>
        <v>884543.77</v>
      </c>
      <c r="H8" s="1031">
        <f>+'11.24 Grants Approp Rsrv'!H27</f>
        <v>146441.91999999998</v>
      </c>
      <c r="I8" s="1031">
        <f>+'11.24 Grants Approp Rsrv'!I27</f>
        <v>1110151.49</v>
      </c>
      <c r="J8" s="1031">
        <f>+'11.24 Grants Approp Rsrv'!J27</f>
        <v>0</v>
      </c>
      <c r="K8" s="1031">
        <f>+'11.24 Grants Approp Rsrv'!K27</f>
        <v>0</v>
      </c>
      <c r="L8" s="1032">
        <f>+'11.24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3597</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+'11.25 Grants Approp Rsrv'!F27</f>
        <v>655275.70000000007</v>
      </c>
      <c r="G8" s="1031">
        <f>+'11.25 Grants Approp Rsrv'!G27</f>
        <v>884543.77</v>
      </c>
      <c r="H8" s="1031">
        <f>+'11.25 Grants Approp Rsrv'!H27</f>
        <v>146441.91999999998</v>
      </c>
      <c r="I8" s="1031">
        <f>+'11.25 Grants Approp Rsrv'!I27</f>
        <v>1110151.49</v>
      </c>
      <c r="J8" s="1031">
        <f>+'11.25 Grants Approp Rsrv'!J27</f>
        <v>0</v>
      </c>
      <c r="K8" s="1031">
        <f>+'11.25 Grants Approp Rsrv'!K27</f>
        <v>0</v>
      </c>
      <c r="L8" s="1032">
        <f>+'11.25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3598</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+'11.26 Grants Approp Rsrv'!F27</f>
        <v>655275.70000000007</v>
      </c>
      <c r="G8" s="1031">
        <f>+'11.26 Grants Approp Rsrv'!G27</f>
        <v>884543.77</v>
      </c>
      <c r="H8" s="1031">
        <f>+'11.26 Grants Approp Rsrv'!H27</f>
        <v>146441.91999999998</v>
      </c>
      <c r="I8" s="1031">
        <f>+'11.26 Grants Approp Rsrv'!I27</f>
        <v>1110151.49</v>
      </c>
      <c r="J8" s="1031">
        <f>+'11.26 Grants Approp Rsrv'!J27</f>
        <v>0</v>
      </c>
      <c r="K8" s="1031">
        <f>+'11.26 Grants Approp Rsrv'!K27</f>
        <v>0</v>
      </c>
      <c r="L8" s="1032">
        <f>+'11.26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3599</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+'11.27 Grants Approp Rsrv'!F27</f>
        <v>655275.70000000007</v>
      </c>
      <c r="G8" s="1031">
        <f>+'11.27 Grants Approp Rsrv'!G27</f>
        <v>884543.77</v>
      </c>
      <c r="H8" s="1031">
        <f>+'11.27 Grants Approp Rsrv'!H27</f>
        <v>146441.91999999998</v>
      </c>
      <c r="I8" s="1031">
        <f>+'11.27 Grants Approp Rsrv'!I27</f>
        <v>1110151.49</v>
      </c>
      <c r="J8" s="1031">
        <f>+'11.27 Grants Approp Rsrv'!J27</f>
        <v>0</v>
      </c>
      <c r="K8" s="1031">
        <f>+'11.27 Grants Approp Rsrv'!K27</f>
        <v>0</v>
      </c>
      <c r="L8" s="1032">
        <f>+'11.27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3600</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2:P59"/>
  <sheetViews>
    <sheetView topLeftCell="A25" zoomScaleNormal="100" workbookViewId="0">
      <selection activeCell="J48" sqref="J48"/>
    </sheetView>
  </sheetViews>
  <sheetFormatPr defaultRowHeight="13.2"/>
  <cols>
    <col min="1" max="1" width="7.5546875" customWidth="1"/>
    <col min="2" max="2" width="4.5546875" customWidth="1"/>
    <col min="3" max="4" width="4.6640625" customWidth="1"/>
    <col min="5" max="5" width="18.6640625" customWidth="1"/>
    <col min="6" max="6" width="8.33203125" customWidth="1"/>
    <col min="7" max="7" width="6.33203125" customWidth="1"/>
    <col min="8" max="8" width="7" customWidth="1"/>
    <col min="9" max="9" width="4.33203125" customWidth="1"/>
    <col min="10" max="10" width="12.88671875" customWidth="1"/>
    <col min="13" max="13" width="1.5546875" customWidth="1"/>
  </cols>
  <sheetData>
    <row r="2" spans="2:16" ht="22.8">
      <c r="B2" s="1548" t="s">
        <v>774</v>
      </c>
      <c r="C2" s="1548"/>
      <c r="D2" s="1548"/>
      <c r="E2" s="1548"/>
      <c r="F2" s="1548"/>
      <c r="G2" s="1548"/>
      <c r="H2" s="1548"/>
      <c r="I2" s="1548"/>
      <c r="J2" s="1548"/>
      <c r="K2" s="1548"/>
      <c r="L2" s="1548"/>
      <c r="M2" s="1548"/>
    </row>
    <row r="4" spans="2:16" ht="20.399999999999999">
      <c r="B4" s="1508" t="s">
        <v>775</v>
      </c>
      <c r="C4" s="1508"/>
      <c r="D4" s="1508"/>
      <c r="E4" s="1508"/>
      <c r="F4" s="1508"/>
      <c r="G4" s="1508"/>
      <c r="H4" s="1508"/>
      <c r="I4" s="1508"/>
      <c r="J4" s="1508"/>
      <c r="K4" s="1508"/>
      <c r="L4" s="1508"/>
      <c r="M4" s="1508"/>
    </row>
    <row r="7" spans="2:16" ht="17.399999999999999">
      <c r="B7" s="119" t="s">
        <v>776</v>
      </c>
    </row>
    <row r="9" spans="2:16" ht="21" customHeight="1">
      <c r="C9" s="93" t="s">
        <v>777</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7.399999999999999">
      <c r="B17" s="119" t="s">
        <v>399</v>
      </c>
    </row>
    <row r="19" spans="2:13" ht="21" customHeight="1">
      <c r="C19" t="s">
        <v>400</v>
      </c>
    </row>
    <row r="20" spans="2:13" ht="21" customHeight="1">
      <c r="B20" t="s">
        <v>103</v>
      </c>
      <c r="F20" s="1520" t="str">
        <f>+'KEY INPUTS'!D12</f>
        <v>BOROUGH</v>
      </c>
      <c r="G20" s="1520"/>
      <c r="H20" s="1520"/>
      <c r="I20" t="s">
        <v>683</v>
      </c>
      <c r="J20" s="1520" t="str">
        <f>+'KEY INPUTS'!D11</f>
        <v>SAYREVILLE</v>
      </c>
      <c r="K20" s="1520"/>
      <c r="L20" s="1520"/>
      <c r="M20" t="s">
        <v>402</v>
      </c>
    </row>
    <row r="21" spans="2:13" ht="21" customHeight="1">
      <c r="B21" t="s">
        <v>401</v>
      </c>
      <c r="D21" s="1520" t="str">
        <f>+'KEY INPUTS'!D10</f>
        <v>MIDDLESEX</v>
      </c>
      <c r="E21" s="1520"/>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33"/>
      <c r="J25" s="1533"/>
      <c r="K25" s="1533"/>
      <c r="L25" s="1533"/>
    </row>
    <row r="26" spans="2:13" ht="21" customHeight="1">
      <c r="H26" t="s">
        <v>405</v>
      </c>
      <c r="I26" s="1533"/>
      <c r="J26" s="1533"/>
      <c r="K26" s="1533"/>
      <c r="L26" s="1533"/>
    </row>
    <row r="28" spans="2:13" ht="21" customHeight="1">
      <c r="C28" t="s">
        <v>406</v>
      </c>
    </row>
    <row r="29" spans="2:13" ht="21" customHeight="1">
      <c r="B29" t="s">
        <v>407</v>
      </c>
    </row>
    <row r="32" spans="2:13">
      <c r="B32" t="s">
        <v>408</v>
      </c>
    </row>
    <row r="34" spans="2:13" ht="21" customHeight="1">
      <c r="C34" t="s">
        <v>409</v>
      </c>
    </row>
    <row r="35" spans="2:13" ht="21" customHeight="1">
      <c r="B35" t="s">
        <v>446</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3.8">
      <c r="B43" s="1549" t="str">
        <f>"MUNICIPAL  CERTIFICATION  OF  TAXABLE  PROPERTY  AS  OF  OCTOBER  1,  "&amp;TEXT('KEY INPUTS'!D34,"0")</f>
        <v>MUNICIPAL  CERTIFICATION  OF  TAXABLE  PROPERTY  AS  OF  OCTOBER  1,  2019</v>
      </c>
      <c r="C43" s="1549"/>
      <c r="D43" s="1549"/>
      <c r="E43" s="1549"/>
      <c r="F43" s="1549"/>
      <c r="G43" s="1549"/>
      <c r="H43" s="1549"/>
      <c r="I43" s="1549"/>
      <c r="J43" s="1549"/>
      <c r="K43" s="1549"/>
      <c r="L43" s="1549"/>
      <c r="M43" s="1549"/>
    </row>
    <row r="45" spans="2:13" ht="21" customHeight="1">
      <c r="D45" t="s">
        <v>447</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448</v>
      </c>
      <c r="J47" s="1550">
        <v>2301984600</v>
      </c>
      <c r="K47" s="1550"/>
      <c r="L47" s="1550"/>
    </row>
    <row r="50" spans="2:13" ht="17.399999999999999">
      <c r="I50" s="30"/>
      <c r="J50" s="1551"/>
      <c r="K50" s="1551"/>
      <c r="L50" s="1551"/>
    </row>
    <row r="51" spans="2:13">
      <c r="I51" s="1546" t="s">
        <v>449</v>
      </c>
      <c r="J51" s="1546"/>
      <c r="K51" s="1546"/>
      <c r="L51" s="1546"/>
    </row>
    <row r="53" spans="2:13">
      <c r="I53" s="1520" t="str">
        <f>+'KEY INPUTS'!D9</f>
        <v>BOROUGH OF SAYREVILLE</v>
      </c>
      <c r="J53" s="1520"/>
      <c r="K53" s="1520"/>
      <c r="L53" s="1520"/>
    </row>
    <row r="54" spans="2:13">
      <c r="I54" s="1546" t="s">
        <v>450</v>
      </c>
      <c r="J54" s="1546"/>
      <c r="K54" s="1546"/>
      <c r="L54" s="1546"/>
    </row>
    <row r="56" spans="2:13">
      <c r="I56" s="1520" t="str">
        <f>+'KEY INPUTS'!D10</f>
        <v>MIDDLESEX</v>
      </c>
      <c r="J56" s="1520"/>
      <c r="K56" s="1520"/>
      <c r="L56" s="1520"/>
    </row>
    <row r="57" spans="2:13">
      <c r="I57" s="1546" t="s">
        <v>451</v>
      </c>
      <c r="J57" s="1546"/>
      <c r="K57" s="1546"/>
      <c r="L57" s="1546"/>
    </row>
    <row r="58" spans="2:13">
      <c r="I58" s="132"/>
      <c r="J58" s="132"/>
      <c r="K58" s="132"/>
      <c r="L58" s="132"/>
    </row>
    <row r="59" spans="2:13" ht="13.8">
      <c r="B59" s="1507" t="s">
        <v>452</v>
      </c>
      <c r="C59" s="1507"/>
      <c r="D59" s="1507"/>
      <c r="E59" s="1507"/>
      <c r="F59" s="1507"/>
      <c r="G59" s="1507"/>
      <c r="H59" s="1507"/>
      <c r="I59" s="1507"/>
      <c r="J59" s="1507"/>
      <c r="K59" s="1507"/>
      <c r="L59" s="1507"/>
      <c r="M59" s="1507"/>
    </row>
  </sheetData>
  <sheetProtection algorithmName="SHA-512" hashValue="msuVd//MZTcT0Z5G/XMySy97O4JJapK2aYUm/5uTDbZeD+YRs82mzP5Dk6joEt61OFEXN7KDAOGpxiKRdhK+JQ==" saltValue="rB26cBFZZM1ginWZMyHxYg=="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J50:L50"/>
    <mergeCell ref="I25:L25"/>
    <mergeCell ref="I26:L26"/>
  </mergeCells>
  <phoneticPr fontId="0" type="noConversion"/>
  <pageMargins left="0.25" right="0.25" top="0.5" bottom="0.5" header="0.25" footer="0.25"/>
  <pageSetup paperSize="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+'11.28 Grants Approp Rsrv'!F27</f>
        <v>655275.70000000007</v>
      </c>
      <c r="G8" s="1031">
        <f>+'11.28 Grants Approp Rsrv'!G27</f>
        <v>884543.77</v>
      </c>
      <c r="H8" s="1031">
        <f>+'11.28 Grants Approp Rsrv'!H27</f>
        <v>146441.91999999998</v>
      </c>
      <c r="I8" s="1031">
        <f>+'11.28 Grants Approp Rsrv'!I27</f>
        <v>1110151.49</v>
      </c>
      <c r="J8" s="1031">
        <f>+'11.28 Grants Approp Rsrv'!J27</f>
        <v>0</v>
      </c>
      <c r="K8" s="1031">
        <f>+'11.28 Grants Approp Rsrv'!K27</f>
        <v>0</v>
      </c>
      <c r="L8" s="1032">
        <f>+'11.28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3601</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+'11.29 Grants Approp Rsrv'!F27</f>
        <v>655275.70000000007</v>
      </c>
      <c r="G8" s="1031">
        <f>+'11.29 Grants Approp Rsrv'!G27</f>
        <v>884543.77</v>
      </c>
      <c r="H8" s="1031">
        <f>+'11.29 Grants Approp Rsrv'!H27</f>
        <v>146441.91999999998</v>
      </c>
      <c r="I8" s="1031">
        <f>+'11.29 Grants Approp Rsrv'!I27</f>
        <v>1110151.49</v>
      </c>
      <c r="J8" s="1031">
        <f>+'11.29 Grants Approp Rsrv'!J27</f>
        <v>0</v>
      </c>
      <c r="K8" s="1031">
        <f>+'11.29 Grants Approp Rsrv'!K27</f>
        <v>0</v>
      </c>
      <c r="L8" s="1032">
        <f>+'11.29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3602</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+'11.30 Grants Approp Rsrv'!F27</f>
        <v>655275.70000000007</v>
      </c>
      <c r="G8" s="1031">
        <f>+'11.30 Grants Approp Rsrv'!G27</f>
        <v>884543.77</v>
      </c>
      <c r="H8" s="1031">
        <f>+'11.30 Grants Approp Rsrv'!H27</f>
        <v>146441.91999999998</v>
      </c>
      <c r="I8" s="1031">
        <f>+'11.30 Grants Approp Rsrv'!I27</f>
        <v>1110151.49</v>
      </c>
      <c r="J8" s="1031">
        <f>+'11.30 Grants Approp Rsrv'!J27</f>
        <v>0</v>
      </c>
      <c r="K8" s="1031">
        <f>+'11.30 Grants Approp Rsrv'!K27</f>
        <v>0</v>
      </c>
      <c r="L8" s="1032">
        <f>+'11.30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3603</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+'11.31 Grants Approp Rsrv'!F27</f>
        <v>655275.70000000007</v>
      </c>
      <c r="G8" s="1031">
        <f>+'11.31 Grants Approp Rsrv'!G27</f>
        <v>884543.77</v>
      </c>
      <c r="H8" s="1031">
        <f>+'11.31 Grants Approp Rsrv'!H27</f>
        <v>146441.91999999998</v>
      </c>
      <c r="I8" s="1031">
        <f>+'11.31 Grants Approp Rsrv'!I27</f>
        <v>1110151.49</v>
      </c>
      <c r="J8" s="1031">
        <f>+'11.31 Grants Approp Rsrv'!J27</f>
        <v>0</v>
      </c>
      <c r="K8" s="1031">
        <f>+'11.31 Grants Approp Rsrv'!K27</f>
        <v>0</v>
      </c>
      <c r="L8" s="1032">
        <f>+'11.31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3604</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+'11.32 Grants Approp Rsrv'!F27</f>
        <v>655275.70000000007</v>
      </c>
      <c r="G8" s="1031">
        <f>+'11.32 Grants Approp Rsrv'!G27</f>
        <v>884543.77</v>
      </c>
      <c r="H8" s="1031">
        <f>+'11.32 Grants Approp Rsrv'!H27</f>
        <v>146441.91999999998</v>
      </c>
      <c r="I8" s="1031">
        <f>+'11.32 Grants Approp Rsrv'!I27</f>
        <v>1110151.49</v>
      </c>
      <c r="J8" s="1031">
        <f>+'11.32 Grants Approp Rsrv'!J27</f>
        <v>0</v>
      </c>
      <c r="K8" s="1031">
        <f>+'11.32 Grants Approp Rsrv'!K27</f>
        <v>0</v>
      </c>
      <c r="L8" s="1032">
        <f>+'11.32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3605</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+'11.33 Grants Approp Rsrv'!F27</f>
        <v>655275.70000000007</v>
      </c>
      <c r="G8" s="1031">
        <f>+'11.33 Grants Approp Rsrv'!G27</f>
        <v>884543.77</v>
      </c>
      <c r="H8" s="1031">
        <f>+'11.33 Grants Approp Rsrv'!H27</f>
        <v>146441.91999999998</v>
      </c>
      <c r="I8" s="1031">
        <f>+'11.33 Grants Approp Rsrv'!I27</f>
        <v>1110151.49</v>
      </c>
      <c r="J8" s="1031">
        <f>+'11.33 Grants Approp Rsrv'!J27</f>
        <v>0</v>
      </c>
      <c r="K8" s="1031">
        <f>+'11.33 Grants Approp Rsrv'!K27</f>
        <v>0</v>
      </c>
      <c r="L8" s="1032">
        <f>+'11.33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3606</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+'11.34 Grants Approp Rsrv'!F27</f>
        <v>655275.70000000007</v>
      </c>
      <c r="G8" s="1031">
        <f>+'11.34 Grants Approp Rsrv'!G27</f>
        <v>884543.77</v>
      </c>
      <c r="H8" s="1031">
        <f>+'11.34 Grants Approp Rsrv'!H27</f>
        <v>146441.91999999998</v>
      </c>
      <c r="I8" s="1031">
        <f>+'11.34 Grants Approp Rsrv'!I27</f>
        <v>1110151.49</v>
      </c>
      <c r="J8" s="1031">
        <f>+'11.34 Grants Approp Rsrv'!J27</f>
        <v>0</v>
      </c>
      <c r="K8" s="1031">
        <f>+'11.34 Grants Approp Rsrv'!K27</f>
        <v>0</v>
      </c>
      <c r="L8" s="1032">
        <f>+'11.34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3607</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2: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+'11.35 Grants Approp Rsrv'!F27</f>
        <v>655275.70000000007</v>
      </c>
      <c r="G8" s="1031">
        <f>+'11.35 Grants Approp Rsrv'!G27</f>
        <v>884543.77</v>
      </c>
      <c r="H8" s="1031">
        <f>+'11.35 Grants Approp Rsrv'!H27</f>
        <v>146441.91999999998</v>
      </c>
      <c r="I8" s="1031">
        <f>+'11.35 Grants Approp Rsrv'!I27</f>
        <v>1110151.49</v>
      </c>
      <c r="J8" s="1031">
        <f>+'11.35 Grants Approp Rsrv'!J27</f>
        <v>0</v>
      </c>
      <c r="K8" s="1031">
        <f>+'11.35 Grants Approp Rsrv'!K27</f>
        <v>0</v>
      </c>
      <c r="L8" s="1032">
        <f>+'11.35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3608</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+'11.36 Grants Approp Rsrv'!F27</f>
        <v>655275.70000000007</v>
      </c>
      <c r="G8" s="1031">
        <f>+'11.36 Grants Approp Rsrv'!G27</f>
        <v>884543.77</v>
      </c>
      <c r="H8" s="1031">
        <f>+'11.36 Grants Approp Rsrv'!H27</f>
        <v>146441.91999999998</v>
      </c>
      <c r="I8" s="1031">
        <f>+'11.36 Grants Approp Rsrv'!I27</f>
        <v>1110151.49</v>
      </c>
      <c r="J8" s="1031">
        <f>+'11.36 Grants Approp Rsrv'!J27</f>
        <v>0</v>
      </c>
      <c r="K8" s="1031">
        <f>+'11.36 Grants Approp Rsrv'!K27</f>
        <v>0</v>
      </c>
      <c r="L8" s="1032">
        <f>+'11.36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3609</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O34"/>
  <sheetViews>
    <sheetView zoomScaleNormal="100" workbookViewId="0">
      <selection activeCell="B1" sqref="B1"/>
    </sheetView>
  </sheetViews>
  <sheetFormatPr defaultColWidth="9.109375" defaultRowHeight="13.2"/>
  <cols>
    <col min="1" max="1" width="5.6640625" style="322" customWidth="1"/>
    <col min="2" max="2" width="4.109375" style="322" customWidth="1"/>
    <col min="3" max="4" width="4.88671875" style="322" customWidth="1"/>
    <col min="5" max="5" width="43.44140625" style="322" customWidth="1"/>
    <col min="6" max="10" width="15.6640625" style="322" customWidth="1"/>
    <col min="11" max="11" width="15.5546875" style="322" customWidth="1"/>
    <col min="12" max="12" width="15.6640625" style="277" customWidth="1"/>
    <col min="13" max="13" width="10.88671875" style="322" bestFit="1" customWidth="1"/>
    <col min="14" max="16384" width="9.109375" style="322"/>
  </cols>
  <sheetData>
    <row r="1" spans="1:15">
      <c r="B1" s="855"/>
      <c r="C1" s="855"/>
      <c r="D1" s="855"/>
      <c r="E1" s="855"/>
      <c r="F1" s="855"/>
      <c r="G1" s="855"/>
      <c r="H1" s="855"/>
      <c r="I1" s="855"/>
      <c r="J1" s="855"/>
      <c r="K1" s="855"/>
      <c r="L1" s="841"/>
    </row>
    <row r="2" spans="1:15" ht="20.399999999999999">
      <c r="B2" s="1595" t="s">
        <v>303</v>
      </c>
      <c r="C2" s="1595"/>
      <c r="D2" s="1595"/>
      <c r="E2" s="1595"/>
      <c r="F2" s="1595"/>
      <c r="G2" s="1595"/>
      <c r="H2" s="1595"/>
      <c r="I2" s="1595"/>
      <c r="J2" s="1595"/>
      <c r="K2" s="1595"/>
      <c r="L2" s="1595"/>
    </row>
    <row r="3" spans="1:15" ht="21" thickBot="1">
      <c r="B3" s="1595" t="s">
        <v>135</v>
      </c>
      <c r="C3" s="1595"/>
      <c r="D3" s="1595"/>
      <c r="E3" s="1595"/>
      <c r="F3" s="1595"/>
      <c r="G3" s="1595"/>
      <c r="H3" s="1595"/>
      <c r="I3" s="1595"/>
      <c r="J3" s="1595"/>
      <c r="K3" s="1595"/>
      <c r="L3" s="1595"/>
    </row>
    <row r="4" spans="1:15" ht="13.8" thickTop="1">
      <c r="B4" s="888"/>
      <c r="C4" s="888"/>
      <c r="D4" s="888"/>
      <c r="E4" s="888"/>
      <c r="F4" s="889"/>
      <c r="G4" s="1609" t="str">
        <f>"Transferred from "&amp;TEXT('KEY INPUTS'!D34,"0")</f>
        <v>Transferred from 2019</v>
      </c>
      <c r="H4" s="1610"/>
      <c r="I4" s="889"/>
      <c r="J4" s="890"/>
      <c r="K4" s="888"/>
      <c r="L4" s="1025"/>
    </row>
    <row r="5" spans="1:15">
      <c r="B5" s="1596" t="s">
        <v>805</v>
      </c>
      <c r="C5" s="1596"/>
      <c r="D5" s="1596"/>
      <c r="E5" s="1597"/>
      <c r="F5" s="891" t="s">
        <v>672</v>
      </c>
      <c r="G5" s="1611" t="s">
        <v>301</v>
      </c>
      <c r="H5" s="1612"/>
      <c r="I5" s="891" t="s">
        <v>302</v>
      </c>
      <c r="J5" s="892" t="s">
        <v>280</v>
      </c>
      <c r="K5" s="997" t="s">
        <v>566</v>
      </c>
      <c r="L5" s="1026" t="s">
        <v>672</v>
      </c>
    </row>
    <row r="6" spans="1:15">
      <c r="B6" s="855"/>
      <c r="C6" s="855"/>
      <c r="D6" s="855"/>
      <c r="E6" s="855"/>
      <c r="F6" s="894" t="str">
        <f>'KEY INPUTS'!D47</f>
        <v>Jan. 1, 2019</v>
      </c>
      <c r="G6" s="891" t="s">
        <v>677</v>
      </c>
      <c r="H6" s="891" t="s">
        <v>299</v>
      </c>
      <c r="I6" s="891"/>
      <c r="J6" s="891"/>
      <c r="K6" s="896"/>
      <c r="L6" s="1027" t="str">
        <f>'KEY INPUTS'!D46</f>
        <v>Dec. 31, 2019</v>
      </c>
    </row>
    <row r="7" spans="1:15" ht="13.8" thickBot="1">
      <c r="B7" s="897"/>
      <c r="C7" s="897"/>
      <c r="D7" s="897"/>
      <c r="E7" s="897"/>
      <c r="F7" s="898"/>
      <c r="G7" s="899"/>
      <c r="H7" s="899" t="s">
        <v>300</v>
      </c>
      <c r="I7" s="898"/>
      <c r="J7" s="899"/>
      <c r="K7" s="900"/>
      <c r="L7" s="1028"/>
    </row>
    <row r="8" spans="1:15" ht="21" customHeight="1" thickTop="1">
      <c r="B8" s="1029" t="s">
        <v>3547</v>
      </c>
      <c r="C8" s="845"/>
      <c r="D8" s="845"/>
      <c r="E8" s="1030"/>
      <c r="F8" s="1031">
        <f>+'11.37 Grants Approp Rsrv'!F27</f>
        <v>655275.70000000007</v>
      </c>
      <c r="G8" s="1031">
        <f>+'11.37 Grants Approp Rsrv'!G27</f>
        <v>884543.77</v>
      </c>
      <c r="H8" s="1031">
        <f>+'11.37 Grants Approp Rsrv'!H27</f>
        <v>146441.91999999998</v>
      </c>
      <c r="I8" s="1031">
        <f>+'11.37 Grants Approp Rsrv'!I27</f>
        <v>1110151.49</v>
      </c>
      <c r="J8" s="1031">
        <f>+'11.37 Grants Approp Rsrv'!J27</f>
        <v>0</v>
      </c>
      <c r="K8" s="1031">
        <f>+'11.37 Grants Approp Rsrv'!K27</f>
        <v>0</v>
      </c>
      <c r="L8" s="1032">
        <f>+'11.37 Grants Approp Rsrv'!L27</f>
        <v>576109.89999999991</v>
      </c>
      <c r="M8" s="711"/>
    </row>
    <row r="9" spans="1:15" ht="21" customHeight="1">
      <c r="B9" s="1605"/>
      <c r="C9" s="1605"/>
      <c r="D9" s="1605"/>
      <c r="E9" s="1606"/>
      <c r="F9" s="575"/>
      <c r="G9" s="575"/>
      <c r="H9" s="575"/>
      <c r="I9" s="575"/>
      <c r="J9" s="575"/>
      <c r="K9" s="575"/>
      <c r="L9" s="320">
        <f t="shared" ref="L9:L26" si="0">+F9+G9+H9-I9+J9-K9</f>
        <v>0</v>
      </c>
      <c r="M9" s="713"/>
    </row>
    <row r="10" spans="1:15" ht="21" customHeight="1">
      <c r="B10" s="1605"/>
      <c r="C10" s="1605"/>
      <c r="D10" s="1605"/>
      <c r="E10" s="1606"/>
      <c r="F10" s="575"/>
      <c r="G10" s="575"/>
      <c r="H10" s="575"/>
      <c r="I10" s="575"/>
      <c r="J10" s="575"/>
      <c r="K10" s="575"/>
      <c r="L10" s="320">
        <f t="shared" si="0"/>
        <v>0</v>
      </c>
      <c r="M10" s="325"/>
    </row>
    <row r="11" spans="1:15" ht="21" customHeight="1">
      <c r="B11" s="1605"/>
      <c r="C11" s="1605"/>
      <c r="D11" s="1605"/>
      <c r="E11" s="1606"/>
      <c r="F11" s="575"/>
      <c r="G11" s="575"/>
      <c r="H11" s="575"/>
      <c r="I11" s="575"/>
      <c r="J11" s="575"/>
      <c r="K11" s="575"/>
      <c r="L11" s="320">
        <f t="shared" si="0"/>
        <v>0</v>
      </c>
      <c r="M11" s="325"/>
      <c r="O11" s="377"/>
    </row>
    <row r="12" spans="1:15" ht="21" customHeight="1">
      <c r="B12" s="1605"/>
      <c r="C12" s="1605"/>
      <c r="D12" s="1605"/>
      <c r="E12" s="1606"/>
      <c r="F12" s="575"/>
      <c r="G12" s="575"/>
      <c r="H12" s="575"/>
      <c r="I12" s="575"/>
      <c r="J12" s="575"/>
      <c r="K12" s="575"/>
      <c r="L12" s="320">
        <f t="shared" si="0"/>
        <v>0</v>
      </c>
      <c r="M12" s="325"/>
    </row>
    <row r="13" spans="1:15" ht="21" customHeight="1">
      <c r="B13" s="1605"/>
      <c r="C13" s="1605"/>
      <c r="D13" s="1605"/>
      <c r="E13" s="1606"/>
      <c r="F13" s="575"/>
      <c r="G13" s="575"/>
      <c r="H13" s="575"/>
      <c r="I13" s="575"/>
      <c r="J13" s="575"/>
      <c r="K13" s="575"/>
      <c r="L13" s="320">
        <f t="shared" si="0"/>
        <v>0</v>
      </c>
      <c r="M13" s="325"/>
    </row>
    <row r="14" spans="1:15" ht="21" customHeight="1">
      <c r="B14" s="1605"/>
      <c r="C14" s="1605"/>
      <c r="D14" s="1605"/>
      <c r="E14" s="1606"/>
      <c r="F14" s="575"/>
      <c r="G14" s="575"/>
      <c r="H14" s="575"/>
      <c r="I14" s="575"/>
      <c r="J14" s="575"/>
      <c r="K14" s="575"/>
      <c r="L14" s="320">
        <f t="shared" si="0"/>
        <v>0</v>
      </c>
      <c r="M14" s="325"/>
    </row>
    <row r="15" spans="1:15" ht="21" customHeight="1">
      <c r="A15" s="1576" t="s">
        <v>3610</v>
      </c>
      <c r="B15" s="1605"/>
      <c r="C15" s="1605"/>
      <c r="D15" s="1605"/>
      <c r="E15" s="1606"/>
      <c r="F15" s="575"/>
      <c r="G15" s="575"/>
      <c r="H15" s="575"/>
      <c r="I15" s="575"/>
      <c r="J15" s="575"/>
      <c r="K15" s="575"/>
      <c r="L15" s="320">
        <f t="shared" si="0"/>
        <v>0</v>
      </c>
      <c r="M15" s="325"/>
    </row>
    <row r="16" spans="1:15" ht="21" customHeight="1">
      <c r="A16" s="1576"/>
      <c r="B16" s="1605"/>
      <c r="C16" s="1605"/>
      <c r="D16" s="1605"/>
      <c r="E16" s="1606"/>
      <c r="F16" s="575"/>
      <c r="G16" s="575"/>
      <c r="H16" s="575"/>
      <c r="I16" s="575"/>
      <c r="J16" s="575"/>
      <c r="K16" s="575"/>
      <c r="L16" s="320">
        <f t="shared" si="0"/>
        <v>0</v>
      </c>
      <c r="M16" s="325"/>
    </row>
    <row r="17" spans="1:13" ht="21" customHeight="1">
      <c r="B17" s="1605"/>
      <c r="C17" s="1605"/>
      <c r="D17" s="1605"/>
      <c r="E17" s="1606"/>
      <c r="F17" s="575"/>
      <c r="G17" s="575"/>
      <c r="H17" s="575"/>
      <c r="I17" s="575"/>
      <c r="J17" s="575"/>
      <c r="K17" s="575"/>
      <c r="L17" s="320">
        <f t="shared" si="0"/>
        <v>0</v>
      </c>
      <c r="M17" s="325"/>
    </row>
    <row r="18" spans="1:13" ht="21" customHeight="1">
      <c r="A18" s="759"/>
      <c r="B18" s="1605"/>
      <c r="C18" s="1605"/>
      <c r="D18" s="1605"/>
      <c r="E18" s="1606"/>
      <c r="F18" s="575"/>
      <c r="G18" s="575"/>
      <c r="H18" s="575"/>
      <c r="I18" s="575"/>
      <c r="J18" s="575"/>
      <c r="K18" s="575"/>
      <c r="L18" s="320">
        <f t="shared" si="0"/>
        <v>0</v>
      </c>
      <c r="M18" s="325"/>
    </row>
    <row r="19" spans="1:13" ht="21" customHeight="1">
      <c r="A19" s="759"/>
      <c r="B19" s="1605"/>
      <c r="C19" s="1605"/>
      <c r="D19" s="1605"/>
      <c r="E19" s="1606"/>
      <c r="F19" s="575"/>
      <c r="G19" s="575"/>
      <c r="H19" s="575"/>
      <c r="I19" s="575"/>
      <c r="J19" s="575"/>
      <c r="K19" s="575"/>
      <c r="L19" s="320">
        <f t="shared" si="0"/>
        <v>0</v>
      </c>
      <c r="M19" s="325"/>
    </row>
    <row r="20" spans="1:13" ht="21" customHeight="1">
      <c r="B20" s="1605"/>
      <c r="C20" s="1605"/>
      <c r="D20" s="1605"/>
      <c r="E20" s="1606"/>
      <c r="F20" s="575"/>
      <c r="G20" s="575"/>
      <c r="H20" s="575"/>
      <c r="I20" s="575"/>
      <c r="J20" s="575"/>
      <c r="K20" s="575"/>
      <c r="L20" s="320">
        <f t="shared" si="0"/>
        <v>0</v>
      </c>
      <c r="M20" s="325"/>
    </row>
    <row r="21" spans="1:13" ht="21" customHeight="1">
      <c r="B21" s="1605"/>
      <c r="C21" s="1605"/>
      <c r="D21" s="1605"/>
      <c r="E21" s="1606"/>
      <c r="F21" s="575"/>
      <c r="G21" s="575"/>
      <c r="H21" s="575"/>
      <c r="I21" s="575"/>
      <c r="J21" s="575"/>
      <c r="K21" s="575"/>
      <c r="L21" s="320">
        <f t="shared" si="0"/>
        <v>0</v>
      </c>
      <c r="M21" s="325"/>
    </row>
    <row r="22" spans="1:13" ht="21" customHeight="1">
      <c r="B22" s="1605"/>
      <c r="C22" s="1605"/>
      <c r="D22" s="1605"/>
      <c r="E22" s="1606"/>
      <c r="F22" s="575"/>
      <c r="G22" s="575"/>
      <c r="H22" s="575"/>
      <c r="I22" s="575"/>
      <c r="J22" s="575"/>
      <c r="K22" s="575"/>
      <c r="L22" s="320">
        <f t="shared" si="0"/>
        <v>0</v>
      </c>
      <c r="M22" s="325"/>
    </row>
    <row r="23" spans="1:13" ht="21" customHeight="1">
      <c r="B23" s="1605"/>
      <c r="C23" s="1605"/>
      <c r="D23" s="1605"/>
      <c r="E23" s="1606"/>
      <c r="F23" s="575"/>
      <c r="G23" s="575"/>
      <c r="H23" s="575"/>
      <c r="I23" s="575"/>
      <c r="J23" s="575"/>
      <c r="K23" s="575"/>
      <c r="L23" s="320">
        <f t="shared" si="0"/>
        <v>0</v>
      </c>
      <c r="M23" s="325"/>
    </row>
    <row r="24" spans="1:13" ht="21" customHeight="1">
      <c r="B24" s="1605"/>
      <c r="C24" s="1605"/>
      <c r="D24" s="1605"/>
      <c r="E24" s="1606"/>
      <c r="F24" s="575"/>
      <c r="G24" s="575"/>
      <c r="H24" s="575"/>
      <c r="I24" s="575"/>
      <c r="J24" s="575"/>
      <c r="K24" s="575"/>
      <c r="L24" s="320">
        <f t="shared" si="0"/>
        <v>0</v>
      </c>
      <c r="M24" s="325"/>
    </row>
    <row r="25" spans="1:13" ht="21" customHeight="1">
      <c r="B25" s="1605"/>
      <c r="C25" s="1605"/>
      <c r="D25" s="1605"/>
      <c r="E25" s="1606"/>
      <c r="F25" s="575"/>
      <c r="G25" s="575"/>
      <c r="H25" s="575"/>
      <c r="I25" s="575"/>
      <c r="J25" s="575"/>
      <c r="K25" s="575"/>
      <c r="L25" s="320">
        <f t="shared" si="0"/>
        <v>0</v>
      </c>
      <c r="M25" s="325"/>
    </row>
    <row r="26" spans="1:13" ht="21" customHeight="1">
      <c r="B26" s="1605"/>
      <c r="C26" s="1605"/>
      <c r="D26" s="1605"/>
      <c r="E26" s="1606"/>
      <c r="F26" s="575"/>
      <c r="G26" s="575"/>
      <c r="H26" s="575"/>
      <c r="I26" s="575"/>
      <c r="J26" s="575"/>
      <c r="K26" s="575"/>
      <c r="L26" s="320">
        <f t="shared" si="0"/>
        <v>0</v>
      </c>
    </row>
    <row r="27" spans="1:13" ht="21" customHeight="1" thickBot="1">
      <c r="B27" s="330"/>
      <c r="C27" s="328" t="s">
        <v>3546</v>
      </c>
      <c r="D27" s="328"/>
      <c r="E27" s="319"/>
      <c r="F27" s="332">
        <f t="shared" ref="F27:K27" si="1">SUM(F8:F26)</f>
        <v>655275.70000000007</v>
      </c>
      <c r="G27" s="332">
        <f>SUM(G8:G26)</f>
        <v>884543.77</v>
      </c>
      <c r="H27" s="332">
        <f t="shared" si="1"/>
        <v>146441.91999999998</v>
      </c>
      <c r="I27" s="332">
        <f t="shared" si="1"/>
        <v>1110151.49</v>
      </c>
      <c r="J27" s="332">
        <f t="shared" si="1"/>
        <v>0</v>
      </c>
      <c r="K27" s="332">
        <f t="shared" si="1"/>
        <v>0</v>
      </c>
      <c r="L27" s="317">
        <f>SUM(L8:L26)</f>
        <v>576109.89999999991</v>
      </c>
    </row>
    <row r="28" spans="1:13" ht="13.8"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293</vt:i4>
      </vt:variant>
      <vt:variant>
        <vt:lpstr>Named Ranges</vt:lpstr>
      </vt:variant>
      <vt:variant>
        <vt:i4>292</vt:i4>
      </vt:variant>
    </vt:vector>
  </HeadingPairs>
  <TitlesOfParts>
    <vt:vector size="585"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Company>Ford Scott Seidenburg Kennedy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Denise Biancamano</cp:lastModifiedBy>
  <cp:lastPrinted>2020-02-22T14:51:59Z</cp:lastPrinted>
  <dcterms:created xsi:type="dcterms:W3CDTF">1999-12-07T13:42:27Z</dcterms:created>
  <dcterms:modified xsi:type="dcterms:W3CDTF">2022-09-28T14:44:47Z</dcterms:modified>
</cp:coreProperties>
</file>